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iedot" sheetId="1" r:id="rId1"/>
    <sheet name="Kiinteäkonttinen" sheetId="2" r:id="rId2"/>
    <sheet name="Siirtokontti" sheetId="3" r:id="rId3"/>
    <sheet name="Vertailut" sheetId="4" r:id="rId4"/>
  </sheets>
  <definedNames>
    <definedName name="Ehto" localSheetId="2">#REF!</definedName>
    <definedName name="Ehto">#REF!</definedName>
  </definedNames>
  <calcPr fullCalcOnLoad="1"/>
</workbook>
</file>

<file path=xl/sharedStrings.xml><?xml version="1.0" encoding="utf-8"?>
<sst xmlns="http://schemas.openxmlformats.org/spreadsheetml/2006/main" count="255" uniqueCount="104">
  <si>
    <t>km/a</t>
  </si>
  <si>
    <t>%</t>
  </si>
  <si>
    <t>PERÄVAUNU</t>
  </si>
  <si>
    <t>HYÖTYKUORMA</t>
  </si>
  <si>
    <t>AJOPÄIVIÄ</t>
  </si>
  <si>
    <t>KUORMAMÄÄRÄ</t>
  </si>
  <si>
    <t>KEIKKA-AIKA</t>
  </si>
  <si>
    <t>KULJETUSETÄISYYS</t>
  </si>
  <si>
    <t>KUORMAMÄÄRÄ VUODESSA</t>
  </si>
  <si>
    <t>AJOSUORITE</t>
  </si>
  <si>
    <t>AUTON KÄYTTÖMATKA</t>
  </si>
  <si>
    <t>AUTON PITOAIKA</t>
  </si>
  <si>
    <t>PERÄVAUNUN PITOAIKA</t>
  </si>
  <si>
    <t>POLTTOAINEEN KULUTUS</t>
  </si>
  <si>
    <t>RENKAIDEN KESTOMATKA</t>
  </si>
  <si>
    <t>KULJETUSSUORITE</t>
  </si>
  <si>
    <t>KÄYTTÖTUNNIT</t>
  </si>
  <si>
    <t>KULJETTAJAN PALKKA</t>
  </si>
  <si>
    <t>VÄLILL. PALKKAKUSTANN.</t>
  </si>
  <si>
    <t>POLTTOAINE</t>
  </si>
  <si>
    <t>VOITELUAINE</t>
  </si>
  <si>
    <t>KORJAUS/HUOLTO</t>
  </si>
  <si>
    <t>PÄÄOMAN POISTO</t>
  </si>
  <si>
    <t>PÄÄOMAN KORKO</t>
  </si>
  <si>
    <t>VAKUUTUSMAKSUT</t>
  </si>
  <si>
    <t>LIIKENNÖIMISMAKSUT</t>
  </si>
  <si>
    <t>h/a</t>
  </si>
  <si>
    <t>HALLINTOKUSTANNUKSET</t>
  </si>
  <si>
    <t>YLLÄPITOKUSTANNUKSET</t>
  </si>
  <si>
    <t>KORVAUKSETON AJO</t>
  </si>
  <si>
    <t>KILOMETRIKUSTANNUS</t>
  </si>
  <si>
    <t>KUORMAKUSTANNUS</t>
  </si>
  <si>
    <t>cnt/km</t>
  </si>
  <si>
    <t>km</t>
  </si>
  <si>
    <t>Siirtokontti</t>
  </si>
  <si>
    <t>Kiinteäkonttinen</t>
  </si>
  <si>
    <t>€/km</t>
  </si>
  <si>
    <t>Hakerekkojen kustannusvertailu</t>
  </si>
  <si>
    <t xml:space="preserve">"Hakerekkojen kustannusvertailu" -laskurilla  voi vertailla kiinteäkuormatilaisen ja komposiittirakenteisilla </t>
  </si>
  <si>
    <t xml:space="preserve">Laskuri on toteutettu "Bioenergialogistiikan kehittäminen hyödyntäen ontelokomposiittirakeinteisia siirtokontteja" -hankkeessa. </t>
  </si>
  <si>
    <t xml:space="preserve">Tarkempia ajoneuvokohtaisia tietoja on tiedusteltu ajoneuvovalmistajilta ja kuljetusyrittäjiltä. </t>
  </si>
  <si>
    <t>LUT Savo Sustainable Technologies</t>
  </si>
  <si>
    <t>Lappeenrannan teknillinen yliopisto</t>
  </si>
  <si>
    <t xml:space="preserve">           Bioenergiateknologia</t>
  </si>
  <si>
    <t xml:space="preserve">Valitse ajoneuvoyhdistelmä: </t>
  </si>
  <si>
    <t>Kustannukset</t>
  </si>
  <si>
    <t>Syötä lukuarvo</t>
  </si>
  <si>
    <t>Oletusarvo</t>
  </si>
  <si>
    <t>Laskuri käyttää</t>
  </si>
  <si>
    <t>RENKAAT (PINNOITUS)</t>
  </si>
  <si>
    <t>KIINTEÄT KUSTANNUKSET</t>
  </si>
  <si>
    <t>PALKKAKUSTANNUKSET</t>
  </si>
  <si>
    <t>AJONEUVON HINTA (EI SIS. RENKAITA)</t>
  </si>
  <si>
    <t>MUUTTUVAT KUSTANNUKSET</t>
  </si>
  <si>
    <t>MUUT TIEDOT</t>
  </si>
  <si>
    <t>Yksikkö</t>
  </si>
  <si>
    <t>€</t>
  </si>
  <si>
    <t>€/h</t>
  </si>
  <si>
    <t>YLIMÄÄRÄISET PALKKATUNNIT</t>
  </si>
  <si>
    <t>l/100 km</t>
  </si>
  <si>
    <t>€/l</t>
  </si>
  <si>
    <t>€/a</t>
  </si>
  <si>
    <t>€/pinnoitus</t>
  </si>
  <si>
    <t>tn</t>
  </si>
  <si>
    <t>h/kuorma</t>
  </si>
  <si>
    <t>a</t>
  </si>
  <si>
    <t>kpl/a</t>
  </si>
  <si>
    <t>tn/a</t>
  </si>
  <si>
    <t>KUSTANNUKSET YHTEENSÄ</t>
  </si>
  <si>
    <t>€/kuorma</t>
  </si>
  <si>
    <t>TONNIKUSTANNUS</t>
  </si>
  <si>
    <t>€/tn</t>
  </si>
  <si>
    <t>RENKAAT PERÄVAUNU €/kpl (yht. 16 kpl)</t>
  </si>
  <si>
    <t>Välitulokset</t>
  </si>
  <si>
    <t>Kiinteäkonttinen hakerekka</t>
  </si>
  <si>
    <t>Tulosyhteenveto</t>
  </si>
  <si>
    <t>Muunneltavat lähtöarvot</t>
  </si>
  <si>
    <t>päivä/vuosi</t>
  </si>
  <si>
    <t>kpl/päivä</t>
  </si>
  <si>
    <t>© Jarno Föhr &amp; Kalle Karttunen 2012</t>
  </si>
  <si>
    <t>YHDISTELMÄN VARUSTEET</t>
  </si>
  <si>
    <t>AUTO</t>
  </si>
  <si>
    <t xml:space="preserve">siirtokonteilla varustellun hakerekkayhdistelmien kustannuseroja.  </t>
  </si>
  <si>
    <t>RENKAAT AUTO €/kpl (yht. 10 kpl)</t>
  </si>
  <si>
    <t>Yksikkökustannus</t>
  </si>
  <si>
    <t>Yksikkötulos</t>
  </si>
  <si>
    <t>TULOS</t>
  </si>
  <si>
    <t>Laskuriin voi asettaa omat tarkemmat lähtöarvot.</t>
  </si>
  <si>
    <t>Laskuri käsittelee pääosin ajoneuvoyhdistelmien laskennallisia kustannusrakenteita.</t>
  </si>
  <si>
    <t>TULOT</t>
  </si>
  <si>
    <t>KULUT</t>
  </si>
  <si>
    <t xml:space="preserve">LIIKEVAIHTO </t>
  </si>
  <si>
    <t>MUUTTUVAT KUSTANNUKSET YHT.</t>
  </si>
  <si>
    <t>Siirtokonttihakerekka</t>
  </si>
  <si>
    <t xml:space="preserve">Liiketoiminnan tulot muodostuvat asettamalla alkuun kuljetukselle yksikköhinta (€/tn). </t>
  </si>
  <si>
    <t xml:space="preserve">Laskennassa on käytetty pohjana SKAL:n toteuttamaa ajoneuvoyhdistelmien kustannuslaskuria. </t>
  </si>
  <si>
    <t xml:space="preserve">Liiketoiminnan tulojen ja laskennallisten kustannusten erotuksena muodostuu tulos. </t>
  </si>
  <si>
    <t xml:space="preserve">Kevytrakenteisilla siirtokonteilla voidaan saavuttaa suurempi hyötykuorma, </t>
  </si>
  <si>
    <t>Lähtöarvoja on päivitetty vuoden 2012 alkuun soveltuviksi.</t>
  </si>
  <si>
    <t>Laskuri ei ota huomioon kuljetusketjun muita kustannuksia, joita muodostuu esimerkiksi siirtokonttien kääntämisestä erillisillä laitteilla.</t>
  </si>
  <si>
    <t>Yksikköhinta (syötä lukuarvo)</t>
  </si>
  <si>
    <t>Laskennalliset kustannukset edustavat teoreettista tehokkuutta täysillä kuormilla.</t>
  </si>
  <si>
    <t>jolloin liiketoiminnan tulot muodostuvat suuremmiksi ja vastaavasti yksikkökustannukset pienemmiksi kuin perinteisillä kiinteäkuormatilaisilla ajoneuvoyhdistelmillä.</t>
  </si>
  <si>
    <t>Hanketta rahoittaa EU:n aluekehitysrahasto Tekesin kautta sekä alalla toimivat yritykset.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</si>
</sst>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%"/>
    <numFmt numFmtId="177" formatCode="0.00%"/>
    <numFmt numFmtId="178" formatCode="d/m/yy"/>
    <numFmt numFmtId="179" formatCode="d/m/yy\ h:mm"/>
    <numFmt numFmtId="180" formatCode="d/m/yyyy"/>
    <numFmt numFmtId="181" formatCode="d/m/yy"/>
    <numFmt numFmtId="182" formatCode="d/m"/>
    <numFmt numFmtId="183" formatCode="d/\ mmmm\ yyyy"/>
    <numFmt numFmtId="184" formatCode="d\-mmm\-yy"/>
    <numFmt numFmtId="185" formatCode="mmm\-yy"/>
    <numFmt numFmtId="186" formatCode="d\-mmm"/>
    <numFmt numFmtId="187" formatCode="d/m/yy\ h:mm"/>
    <numFmt numFmtId="188" formatCode="0&quot; mk&quot;"/>
    <numFmt numFmtId="189" formatCode="0.0"/>
    <numFmt numFmtId="190" formatCode="#,##0&quot; mk&quot;;\-#,##0&quot; mk&quot;"/>
    <numFmt numFmtId="191" formatCode="#,##0&quot; mk&quot;;[Red]\-#,##0&quot; mk&quot;"/>
    <numFmt numFmtId="192" formatCode="#,##0.00&quot; mk&quot;;\-#,##0.00&quot; mk&quot;"/>
    <numFmt numFmtId="193" formatCode="#,##0.00&quot; mk&quot;;[Red]\-#,##0.00&quot; mk&quot;"/>
    <numFmt numFmtId="194" formatCode="d\.m\.yy"/>
    <numFmt numFmtId="195" formatCode="d\.mmm\.yy"/>
    <numFmt numFmtId="196" formatCode="d\.mmm"/>
    <numFmt numFmtId="197" formatCode="mmm\.yy"/>
    <numFmt numFmtId="198" formatCode="d\.m\.yy\ h:mm"/>
    <numFmt numFmtId="199" formatCode="##,#00"/>
    <numFmt numFmtId="200" formatCode="0\-0.0"/>
    <numFmt numFmtId="201" formatCode="0\.0"/>
    <numFmt numFmtId="202" formatCode="\+\ ##&quot; mk&quot;"/>
    <numFmt numFmtId="203" formatCode="\+\ ##"/>
    <numFmt numFmtId="204" formatCode="\+\ 0.00,"/>
    <numFmt numFmtId="205" formatCode="0.00,"/>
    <numFmt numFmtId="206" formatCode="\+\ 0.00"/>
    <numFmt numFmtId="207" formatCode="#,##0.000"/>
    <numFmt numFmtId="208" formatCode="#,##0.00\ &quot;mk&quot;"/>
    <numFmt numFmtId="209" formatCode="0.000"/>
    <numFmt numFmtId="210" formatCode="&quot;Kyllä&quot;;&quot;Kyllä&quot;;&quot;Ei&quot;"/>
    <numFmt numFmtId="211" formatCode="&quot;Tosi&quot;;&quot;Tosi&quot;;&quot;Epätosi&quot;"/>
    <numFmt numFmtId="212" formatCode="&quot;Käytössä&quot;;&quot;Käytössä&quot;;&quot;Ei käytössä&quot;"/>
    <numFmt numFmtId="213" formatCode="0.0\ %"/>
    <numFmt numFmtId="214" formatCode="#,##0.0"/>
    <numFmt numFmtId="215" formatCode="[$-40B]d\.\ mmmm&quot;ta &quot;yyyy"/>
    <numFmt numFmtId="216" formatCode="00000"/>
    <numFmt numFmtId="217" formatCode="0.00000"/>
    <numFmt numFmtId="218" formatCode="0.0000"/>
    <numFmt numFmtId="219" formatCode="#,##0\ &quot;€&quot;"/>
  </numFmts>
  <fonts count="57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5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CC00"/>
      <name val="Arial"/>
      <family val="2"/>
    </font>
    <font>
      <sz val="10"/>
      <color rgb="FF33CC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209" fontId="0" fillId="0" borderId="0" xfId="0" applyNumberFormat="1" applyAlignment="1" applyProtection="1">
      <alignment horizontal="center"/>
      <protection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4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209" fontId="0" fillId="0" borderId="11" xfId="0" applyNumberFormat="1" applyFont="1" applyBorder="1" applyAlignment="1" applyProtection="1">
      <alignment horizontal="center" wrapText="1"/>
      <protection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left"/>
      <protection/>
    </xf>
    <xf numFmtId="1" fontId="55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 applyProtection="1">
      <alignment horizontal="right"/>
      <protection locked="0"/>
    </xf>
    <xf numFmtId="189" fontId="1" fillId="0" borderId="11" xfId="0" applyNumberFormat="1" applyFont="1" applyBorder="1" applyAlignment="1" applyProtection="1">
      <alignment/>
      <protection/>
    </xf>
    <xf numFmtId="1" fontId="0" fillId="34" borderId="11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55" fillId="0" borderId="0" xfId="0" applyNumberFormat="1" applyFont="1" applyBorder="1" applyAlignment="1">
      <alignment/>
    </xf>
    <xf numFmtId="189" fontId="0" fillId="0" borderId="11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34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1" fontId="56" fillId="0" borderId="0" xfId="0" applyNumberFormat="1" applyFont="1" applyAlignment="1">
      <alignment/>
    </xf>
    <xf numFmtId="0" fontId="4" fillId="33" borderId="0" xfId="53" applyFont="1" applyFill="1" applyAlignment="1" applyProtection="1">
      <alignment/>
      <protection/>
    </xf>
    <xf numFmtId="0" fontId="0" fillId="34" borderId="0" xfId="0" applyFill="1" applyAlignment="1">
      <alignment/>
    </xf>
    <xf numFmtId="1" fontId="55" fillId="34" borderId="11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 applyProtection="1">
      <alignment horizontal="right"/>
      <protection/>
    </xf>
    <xf numFmtId="1" fontId="56" fillId="0" borderId="11" xfId="0" applyNumberFormat="1" applyFont="1" applyBorder="1" applyAlignment="1">
      <alignment horizontal="left"/>
    </xf>
    <xf numFmtId="1" fontId="56" fillId="34" borderId="11" xfId="0" applyNumberFormat="1" applyFont="1" applyFill="1" applyBorder="1" applyAlignment="1">
      <alignment horizontal="left"/>
    </xf>
    <xf numFmtId="1" fontId="56" fillId="0" borderId="0" xfId="0" applyNumberFormat="1" applyFont="1" applyBorder="1" applyAlignment="1">
      <alignment horizontal="left"/>
    </xf>
    <xf numFmtId="4" fontId="0" fillId="34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89" fontId="1" fillId="0" borderId="11" xfId="0" applyNumberFormat="1" applyFont="1" applyBorder="1" applyAlignment="1" applyProtection="1">
      <alignment/>
      <protection locked="0"/>
    </xf>
    <xf numFmtId="1" fontId="56" fillId="34" borderId="10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1" fontId="56" fillId="0" borderId="12" xfId="0" applyNumberFormat="1" applyFont="1" applyBorder="1" applyAlignment="1">
      <alignment horizontal="left"/>
    </xf>
    <xf numFmtId="3" fontId="1" fillId="0" borderId="0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>
      <alignment horizontal="right"/>
    </xf>
    <xf numFmtId="3" fontId="1" fillId="0" borderId="12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>
      <alignment horizontal="right"/>
    </xf>
    <xf numFmtId="3" fontId="1" fillId="0" borderId="11" xfId="0" applyNumberFormat="1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0" fillId="35" borderId="11" xfId="0" applyNumberFormat="1" applyFill="1" applyBorder="1" applyAlignment="1" applyProtection="1">
      <alignment horizontal="right"/>
      <protection locked="0"/>
    </xf>
    <xf numFmtId="1" fontId="0" fillId="35" borderId="11" xfId="0" applyNumberFormat="1" applyFont="1" applyFill="1" applyBorder="1" applyAlignment="1" applyProtection="1">
      <alignment horizontal="center"/>
      <protection locked="0"/>
    </xf>
    <xf numFmtId="219" fontId="1" fillId="35" borderId="11" xfId="0" applyNumberFormat="1" applyFont="1" applyFill="1" applyBorder="1" applyAlignment="1" applyProtection="1">
      <alignment/>
      <protection locked="0"/>
    </xf>
    <xf numFmtId="189" fontId="0" fillId="35" borderId="11" xfId="0" applyNumberFormat="1" applyFont="1" applyFill="1" applyBorder="1" applyAlignment="1" applyProtection="1">
      <alignment horizontal="center"/>
      <protection locked="0"/>
    </xf>
    <xf numFmtId="2" fontId="0" fillId="35" borderId="11" xfId="0" applyNumberFormat="1" applyFont="1" applyFill="1" applyBorder="1" applyAlignment="1" applyProtection="1">
      <alignment horizontal="center"/>
      <protection locked="0"/>
    </xf>
    <xf numFmtId="1" fontId="0" fillId="35" borderId="1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0.07075"/>
          <c:w val="0.597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Kiinteäkonttinen!$B$8</c:f>
              <c:strCache>
                <c:ptCount val="1"/>
                <c:pt idx="0">
                  <c:v>KIINTEÄT KUSTANNUKSET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Kiinteäkonttinen!$C$8</c:f>
              <c:numCache/>
            </c:numRef>
          </c:val>
        </c:ser>
        <c:ser>
          <c:idx val="1"/>
          <c:order val="1"/>
          <c:tx>
            <c:strRef>
              <c:f>Kiinteäkonttinen!$B$9</c:f>
              <c:strCache>
                <c:ptCount val="1"/>
                <c:pt idx="0">
                  <c:v>PALKKAKUSTANNUKSET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Kiinteäkonttinen!$C$9</c:f>
              <c:numCache/>
            </c:numRef>
          </c:val>
        </c:ser>
        <c:ser>
          <c:idx val="2"/>
          <c:order val="2"/>
          <c:tx>
            <c:strRef>
              <c:f>Kiinteäkonttinen!$B$10</c:f>
              <c:strCache>
                <c:ptCount val="1"/>
                <c:pt idx="0">
                  <c:v>MUUTTUVAT KUSTANNUKSET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Kiinteäkonttinen!$C$10</c:f>
              <c:numCache/>
            </c:numRef>
          </c:val>
        </c:ser>
        <c:axId val="36521385"/>
        <c:axId val="60257010"/>
      </c:barChart>
      <c:catAx>
        <c:axId val="36521385"/>
        <c:scaling>
          <c:orientation val="minMax"/>
        </c:scaling>
        <c:axPos val="b"/>
        <c:delete val="1"/>
        <c:majorTickMark val="out"/>
        <c:minorTickMark val="none"/>
        <c:tickLblPos val="nextTo"/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55"/>
          <c:y val="0.1945"/>
          <c:w val="0.4345"/>
          <c:h val="0.6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635"/>
          <c:w val="0.589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Kiinteäkonttinen!$B$5</c:f>
              <c:strCache>
                <c:ptCount val="1"/>
                <c:pt idx="0">
                  <c:v>LIIKEVAIHTO 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Kiinteäkonttinen!$C$5</c:f>
              <c:numCache/>
            </c:numRef>
          </c:val>
        </c:ser>
        <c:ser>
          <c:idx val="1"/>
          <c:order val="1"/>
          <c:tx>
            <c:strRef>
              <c:f>Kiinteäkonttinen!$B$11</c:f>
              <c:strCache>
                <c:ptCount val="1"/>
                <c:pt idx="0">
                  <c:v>KUSTANNUKSET YHTEENSÄ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Kiinteäkonttinen!$C$11</c:f>
              <c:numCache/>
            </c:numRef>
          </c:val>
        </c:ser>
        <c:ser>
          <c:idx val="2"/>
          <c:order val="2"/>
          <c:tx>
            <c:strRef>
              <c:f>Kiinteäkonttinen!$B$14</c:f>
              <c:strCache>
                <c:ptCount val="1"/>
                <c:pt idx="0">
                  <c:v>TULOS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Kiinteäkonttinen!$C$14</c:f>
              <c:numCache/>
            </c:numRef>
          </c:val>
        </c:ser>
        <c:axId val="5442179"/>
        <c:axId val="48979612"/>
      </c:barChart>
      <c:catAx>
        <c:axId val="5442179"/>
        <c:scaling>
          <c:orientation val="minMax"/>
        </c:scaling>
        <c:axPos val="b"/>
        <c:delete val="1"/>
        <c:majorTickMark val="out"/>
        <c:minorTickMark val="none"/>
        <c:tickLblPos val="nextTo"/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7"/>
          <c:y val="0.249"/>
          <c:w val="0.433"/>
          <c:h val="0.5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58"/>
          <c:w val="0.5912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Siirtokontti!$B$8</c:f>
              <c:strCache>
                <c:ptCount val="1"/>
                <c:pt idx="0">
                  <c:v>KIINTEÄT KUSTANNUKSET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Siirtokontti!$C$8</c:f>
              <c:numCache/>
            </c:numRef>
          </c:val>
        </c:ser>
        <c:ser>
          <c:idx val="1"/>
          <c:order val="1"/>
          <c:tx>
            <c:strRef>
              <c:f>Siirtokontti!$B$9</c:f>
              <c:strCache>
                <c:ptCount val="1"/>
                <c:pt idx="0">
                  <c:v>PALKKAKUSTANNUKSET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Siirtokontti!$C$9</c:f>
              <c:numCache/>
            </c:numRef>
          </c:val>
        </c:ser>
        <c:ser>
          <c:idx val="2"/>
          <c:order val="2"/>
          <c:tx>
            <c:strRef>
              <c:f>Siirtokontti!$B$10</c:f>
              <c:strCache>
                <c:ptCount val="1"/>
                <c:pt idx="0">
                  <c:v>MUUTTUVAT KUSTANNUKSET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Siirtokontti!$C$10</c:f>
              <c:numCache/>
            </c:numRef>
          </c:val>
        </c:ser>
        <c:axId val="38163325"/>
        <c:axId val="7925606"/>
      </c:barChart>
      <c:catAx>
        <c:axId val="38163325"/>
        <c:scaling>
          <c:orientation val="minMax"/>
        </c:scaling>
        <c:axPos val="b"/>
        <c:delete val="1"/>
        <c:majorTickMark val="out"/>
        <c:minorTickMark val="none"/>
        <c:tickLblPos val="nextTo"/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3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55"/>
          <c:y val="0.199"/>
          <c:w val="0.4345"/>
          <c:h val="0.6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635"/>
          <c:w val="0.589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Siirtokontti!$B$5</c:f>
              <c:strCache>
                <c:ptCount val="1"/>
                <c:pt idx="0">
                  <c:v>LIIKEVAIHTO 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Siirtokontti!$C$5</c:f>
              <c:numCache/>
            </c:numRef>
          </c:val>
        </c:ser>
        <c:ser>
          <c:idx val="1"/>
          <c:order val="1"/>
          <c:tx>
            <c:strRef>
              <c:f>Siirtokontti!$B$11</c:f>
              <c:strCache>
                <c:ptCount val="1"/>
                <c:pt idx="0">
                  <c:v>KUSTANNUKSET YHTEENSÄ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Siirtokontti!$C$11</c:f>
              <c:numCache/>
            </c:numRef>
          </c:val>
        </c:ser>
        <c:ser>
          <c:idx val="2"/>
          <c:order val="2"/>
          <c:tx>
            <c:strRef>
              <c:f>Siirtokontti!$B$14</c:f>
              <c:strCache>
                <c:ptCount val="1"/>
                <c:pt idx="0">
                  <c:v>TULOS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Siirtokontti!$C$14</c:f>
              <c:numCache/>
            </c:numRef>
          </c:val>
        </c:ser>
        <c:axId val="4221591"/>
        <c:axId val="37994320"/>
      </c:barChart>
      <c:catAx>
        <c:axId val="4221591"/>
        <c:scaling>
          <c:orientation val="minMax"/>
        </c:scaling>
        <c:axPos val="b"/>
        <c:delete val="1"/>
        <c:majorTickMark val="out"/>
        <c:minorTickMark val="none"/>
        <c:tickLblPos val="nextTo"/>
        <c:crossAx val="37994320"/>
        <c:crosses val="autoZero"/>
        <c:auto val="1"/>
        <c:lblOffset val="100"/>
        <c:tickLblSkip val="1"/>
        <c:noMultiLvlLbl val="0"/>
      </c:catAx>
      <c:valAx>
        <c:axId val="3799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575"/>
          <c:y val="0.248"/>
          <c:w val="0.43425"/>
          <c:h val="0.5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7925"/>
          <c:w val="0.734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Kiinteäkonttinen!$A$1</c:f>
              <c:strCache>
                <c:ptCount val="1"/>
                <c:pt idx="0">
                  <c:v>Kiinteäkonttinen hakerekka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Kiinteäkonttinen!$B$8:$B$10</c:f>
              <c:strCache>
                <c:ptCount val="3"/>
                <c:pt idx="0">
                  <c:v>KIINTEÄT KUSTANNUKSET</c:v>
                </c:pt>
                <c:pt idx="1">
                  <c:v>PALKKAKUSTANNUKSET</c:v>
                </c:pt>
                <c:pt idx="2">
                  <c:v>MUUTTUVAT KUSTANNUKSET</c:v>
                </c:pt>
              </c:strCache>
            </c:strRef>
          </c:cat>
          <c:val>
            <c:numRef>
              <c:f>Kiinteäkonttinen!$C$8:$C$10</c:f>
              <c:numCache>
                <c:ptCount val="3"/>
                <c:pt idx="0">
                  <c:v>57805.43388656249</c:v>
                </c:pt>
                <c:pt idx="1">
                  <c:v>95865</c:v>
                </c:pt>
                <c:pt idx="2">
                  <c:v>86316.96428571429</c:v>
                </c:pt>
              </c:numCache>
            </c:numRef>
          </c:val>
        </c:ser>
        <c:ser>
          <c:idx val="1"/>
          <c:order val="1"/>
          <c:tx>
            <c:strRef>
              <c:f>Siirtokontti!$A$1</c:f>
              <c:strCache>
                <c:ptCount val="1"/>
                <c:pt idx="0">
                  <c:v>Siirtokonttihakerekka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Kiinteäkonttinen!$B$8:$B$10</c:f>
              <c:strCache>
                <c:ptCount val="3"/>
                <c:pt idx="0">
                  <c:v>KIINTEÄT KUSTANNUKSET</c:v>
                </c:pt>
                <c:pt idx="1">
                  <c:v>PALKKAKUSTANNUKSET</c:v>
                </c:pt>
                <c:pt idx="2">
                  <c:v>MUUTTUVAT KUSTANNUKSET</c:v>
                </c:pt>
              </c:strCache>
            </c:strRef>
          </c:cat>
          <c:val>
            <c:numRef>
              <c:f>Siirtokontti!$C$8:$C$10</c:f>
              <c:numCache>
                <c:ptCount val="3"/>
                <c:pt idx="0">
                  <c:v>58178.39197138392</c:v>
                </c:pt>
                <c:pt idx="1">
                  <c:v>87876.25</c:v>
                </c:pt>
                <c:pt idx="2">
                  <c:v>81441.96428571428</c:v>
                </c:pt>
              </c:numCache>
            </c:numRef>
          </c:val>
        </c:ser>
        <c:axId val="6404561"/>
        <c:axId val="57641050"/>
      </c:bar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641050"/>
        <c:crosses val="autoZero"/>
        <c:auto val="1"/>
        <c:lblOffset val="100"/>
        <c:tickLblSkip val="1"/>
        <c:noMultiLvlLbl val="0"/>
      </c:catAx>
      <c:valAx>
        <c:axId val="57641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04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4365"/>
          <c:w val="0.2697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725"/>
          <c:w val="0.6722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Kiinteäkonttinen!$A$1</c:f>
              <c:strCache>
                <c:ptCount val="1"/>
                <c:pt idx="0">
                  <c:v>Kiinteäkonttinen hakerekka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Kiinteäkonttinen!$B$22:$B$23</c:f>
              <c:strCache>
                <c:ptCount val="2"/>
                <c:pt idx="0">
                  <c:v>KILOMETRIKUSTANNUS</c:v>
                </c:pt>
                <c:pt idx="1">
                  <c:v>TONNIKUSTANNUS</c:v>
                </c:pt>
              </c:strCache>
            </c:strRef>
          </c:cat>
          <c:val>
            <c:numRef>
              <c:f>Kiinteäkonttinen!$C$22:$C$23</c:f>
              <c:numCache>
                <c:ptCount val="2"/>
                <c:pt idx="0">
                  <c:v>1.9198991853782141</c:v>
                </c:pt>
                <c:pt idx="1">
                  <c:v>5.188916717238416</c:v>
                </c:pt>
              </c:numCache>
            </c:numRef>
          </c:val>
        </c:ser>
        <c:ser>
          <c:idx val="1"/>
          <c:order val="1"/>
          <c:tx>
            <c:strRef>
              <c:f>Siirtokontti!$A$1</c:f>
              <c:strCache>
                <c:ptCount val="1"/>
                <c:pt idx="0">
                  <c:v>Siirtokonttihakerekka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Siirtokontti!$C$22:$C$23</c:f>
              <c:numCache>
                <c:ptCount val="2"/>
                <c:pt idx="0">
                  <c:v>1.8199728500567856</c:v>
                </c:pt>
                <c:pt idx="1">
                  <c:v>4.549932125141964</c:v>
                </c:pt>
              </c:numCache>
            </c:numRef>
          </c:val>
        </c:ser>
        <c:axId val="49007403"/>
        <c:axId val="38413444"/>
      </c:bar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413444"/>
        <c:crosses val="autoZero"/>
        <c:auto val="1"/>
        <c:lblOffset val="100"/>
        <c:tickLblSkip val="1"/>
        <c:noMultiLvlLbl val="0"/>
      </c:catAx>
      <c:valAx>
        <c:axId val="38413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007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426"/>
          <c:w val="0.33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75"/>
          <c:w val="0.68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Kiinteäkonttinen!$A$1</c:f>
              <c:strCache>
                <c:ptCount val="1"/>
                <c:pt idx="0">
                  <c:v>Kiinteäkonttinen hakerekka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Kiinteäkonttinen!$B$24</c:f>
              <c:strCache>
                <c:ptCount val="1"/>
                <c:pt idx="0">
                  <c:v>KUORMAKUSTANNUS</c:v>
                </c:pt>
              </c:strCache>
            </c:strRef>
          </c:cat>
          <c:val>
            <c:numRef>
              <c:f>Kiinteäkonttinen!$C$24</c:f>
              <c:numCache>
                <c:ptCount val="1"/>
                <c:pt idx="0">
                  <c:v>191.9899185378214</c:v>
                </c:pt>
              </c:numCache>
            </c:numRef>
          </c:val>
        </c:ser>
        <c:ser>
          <c:idx val="1"/>
          <c:order val="1"/>
          <c:tx>
            <c:strRef>
              <c:f>Siirtokontti!$A$1</c:f>
              <c:strCache>
                <c:ptCount val="1"/>
                <c:pt idx="0">
                  <c:v>Siirtokonttihakerekka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Kiinteäkonttinen!$B$24</c:f>
              <c:strCache>
                <c:ptCount val="1"/>
                <c:pt idx="0">
                  <c:v>KUORMAKUSTANNUS</c:v>
                </c:pt>
              </c:strCache>
            </c:strRef>
          </c:cat>
          <c:val>
            <c:numRef>
              <c:f>Siirtokontti!$C$24</c:f>
              <c:numCache>
                <c:ptCount val="1"/>
                <c:pt idx="0">
                  <c:v>181.99728500567855</c:v>
                </c:pt>
              </c:numCache>
            </c:numRef>
          </c:val>
        </c:ser>
        <c:axId val="10176677"/>
        <c:axId val="24481230"/>
      </c:bar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481230"/>
        <c:crosses val="autoZero"/>
        <c:auto val="1"/>
        <c:lblOffset val="100"/>
        <c:tickLblSkip val="1"/>
        <c:noMultiLvlLbl val="0"/>
      </c:catAx>
      <c:valAx>
        <c:axId val="244812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176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378"/>
          <c:w val="0.27075"/>
          <c:h val="0.2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7925"/>
          <c:w val="0.7617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Kiinteäkonttinen!$A$1</c:f>
              <c:strCache>
                <c:ptCount val="1"/>
                <c:pt idx="0">
                  <c:v>Kiinteäkonttinen hakerekka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(Siirtokontti!$B$5,Siirtokontti!$B$11,Siirtokontti!$B$14)</c:f>
              <c:strCache>
                <c:ptCount val="3"/>
                <c:pt idx="0">
                  <c:v>LIIKEVAIHTO </c:v>
                </c:pt>
                <c:pt idx="1">
                  <c:v>KUSTANNUKSET YHTEENSÄ</c:v>
                </c:pt>
                <c:pt idx="2">
                  <c:v>TULOS</c:v>
                </c:pt>
              </c:strCache>
            </c:strRef>
          </c:cat>
          <c:val>
            <c:numRef>
              <c:f>(Kiinteäkonttinen!$C$5,Kiinteäkonttinen!$C$11,Kiinteäkonttinen!$C$14)</c:f>
              <c:numCache>
                <c:ptCount val="3"/>
                <c:pt idx="0">
                  <c:v>323750</c:v>
                </c:pt>
                <c:pt idx="1">
                  <c:v>239987.39817227676</c:v>
                </c:pt>
                <c:pt idx="2">
                  <c:v>83762.60182772324</c:v>
                </c:pt>
              </c:numCache>
            </c:numRef>
          </c:val>
        </c:ser>
        <c:ser>
          <c:idx val="1"/>
          <c:order val="1"/>
          <c:tx>
            <c:strRef>
              <c:f>Siirtokontti!$A$1</c:f>
              <c:strCache>
                <c:ptCount val="1"/>
                <c:pt idx="0">
                  <c:v>Siirtokonttihakerekka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(Siirtokontti!$B$5,Siirtokontti!$B$11,Siirtokontti!$B$14)</c:f>
              <c:strCache>
                <c:ptCount val="3"/>
                <c:pt idx="0">
                  <c:v>LIIKEVAIHTO </c:v>
                </c:pt>
                <c:pt idx="1">
                  <c:v>KUSTANNUKSET YHTEENSÄ</c:v>
                </c:pt>
                <c:pt idx="2">
                  <c:v>TULOS</c:v>
                </c:pt>
              </c:strCache>
            </c:strRef>
          </c:cat>
          <c:val>
            <c:numRef>
              <c:f>(Siirtokontti!$C$5,Siirtokontti!$C$11,Siirtokontti!$C$14)</c:f>
              <c:numCache>
                <c:ptCount val="3"/>
                <c:pt idx="0">
                  <c:v>350000</c:v>
                </c:pt>
                <c:pt idx="1">
                  <c:v>227496.6062570982</c:v>
                </c:pt>
                <c:pt idx="2">
                  <c:v>122503.3937429018</c:v>
                </c:pt>
              </c:numCache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822584"/>
        <c:crosses val="autoZero"/>
        <c:auto val="1"/>
        <c:lblOffset val="100"/>
        <c:tickLblSkip val="1"/>
        <c:noMultiLvlLbl val="0"/>
      </c:catAx>
      <c:valAx>
        <c:axId val="36822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004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366"/>
          <c:w val="0.25375"/>
          <c:h val="0.1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7925"/>
          <c:w val="0.727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Kiinteäkonttinen!$A$1</c:f>
              <c:strCache>
                <c:ptCount val="1"/>
                <c:pt idx="0">
                  <c:v>Kiinteäkonttinen hakerekka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Yksikköhinta</c:v>
              </c:pt>
              <c:pt idx="1">
                <c:v> Yksikkökustannus</c:v>
              </c:pt>
              <c:pt idx="2">
                <c:v> Yksikkötulos</c:v>
              </c:pt>
            </c:strLit>
          </c:cat>
          <c:val>
            <c:numRef>
              <c:f>(Kiinteäkonttinen!$C$6,Kiinteäkonttinen!$C$12,Kiinteäkonttinen!$C$15)</c:f>
              <c:numCache>
                <c:ptCount val="3"/>
                <c:pt idx="0">
                  <c:v>7</c:v>
                </c:pt>
                <c:pt idx="1">
                  <c:v>5.188916717238416</c:v>
                </c:pt>
                <c:pt idx="2">
                  <c:v>1.811083282761584</c:v>
                </c:pt>
              </c:numCache>
            </c:numRef>
          </c:val>
        </c:ser>
        <c:ser>
          <c:idx val="1"/>
          <c:order val="1"/>
          <c:tx>
            <c:strRef>
              <c:f>Siirtokontti!$A$1</c:f>
              <c:strCache>
                <c:ptCount val="1"/>
                <c:pt idx="0">
                  <c:v>Siirtokonttihakerekka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Yksikköhinta</c:v>
              </c:pt>
              <c:pt idx="1">
                <c:v> Yksikkökustannus</c:v>
              </c:pt>
              <c:pt idx="2">
                <c:v> Yksikkötulos</c:v>
              </c:pt>
            </c:strLit>
          </c:cat>
          <c:val>
            <c:numRef>
              <c:f>(Siirtokontti!$C$6,Siirtokontti!$C$12,Siirtokontti!$C$15)</c:f>
              <c:numCache>
                <c:ptCount val="3"/>
                <c:pt idx="0">
                  <c:v>7</c:v>
                </c:pt>
                <c:pt idx="1">
                  <c:v>4.549932125141964</c:v>
                </c:pt>
                <c:pt idx="2">
                  <c:v>2.4500678748580356</c:v>
                </c:pt>
              </c:numCache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967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366"/>
          <c:w val="0.25375"/>
          <c:h val="0.1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31</xdr:row>
      <xdr:rowOff>0</xdr:rowOff>
    </xdr:from>
    <xdr:to>
      <xdr:col>5</xdr:col>
      <xdr:colOff>76200</xdr:colOff>
      <xdr:row>37</xdr:row>
      <xdr:rowOff>114300</xdr:rowOff>
    </xdr:to>
    <xdr:pic>
      <xdr:nvPicPr>
        <xdr:cNvPr id="1" name="Kuva 1" descr="vipuvoimaaEU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905625"/>
          <a:ext cx="2809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</xdr:row>
      <xdr:rowOff>57150</xdr:rowOff>
    </xdr:from>
    <xdr:to>
      <xdr:col>7</xdr:col>
      <xdr:colOff>561975</xdr:colOff>
      <xdr:row>5</xdr:row>
      <xdr:rowOff>47625</xdr:rowOff>
    </xdr:to>
    <xdr:pic>
      <xdr:nvPicPr>
        <xdr:cNvPr id="2" name="Kuva 2" descr="Tunnus_RGB_300dp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6191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31</xdr:row>
      <xdr:rowOff>9525</xdr:rowOff>
    </xdr:from>
    <xdr:to>
      <xdr:col>10</xdr:col>
      <xdr:colOff>0</xdr:colOff>
      <xdr:row>38</xdr:row>
      <xdr:rowOff>19050</xdr:rowOff>
    </xdr:to>
    <xdr:pic>
      <xdr:nvPicPr>
        <xdr:cNvPr id="3" name="Kuva 3" descr="EAKR-lippu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6915150"/>
          <a:ext cx="234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-0.00325</cdr:y>
    </cdr:from>
    <cdr:to>
      <cdr:x>0.04725</cdr:x>
      <cdr:y>0.074</cdr:y>
    </cdr:to>
    <cdr:sp>
      <cdr:nvSpPr>
        <cdr:cNvPr id="1" name="Tekstikehys 1"/>
        <cdr:cNvSpPr txBox="1">
          <a:spLocks noChangeArrowheads="1"/>
        </cdr:cNvSpPr>
      </cdr:nvSpPr>
      <cdr:spPr>
        <a:xfrm>
          <a:off x="28575" y="-9524"/>
          <a:ext cx="247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€</a:t>
          </a:r>
        </a:p>
      </cdr:txBody>
    </cdr:sp>
  </cdr:relSizeAnchor>
  <cdr:relSizeAnchor xmlns:cdr="http://schemas.openxmlformats.org/drawingml/2006/chartDrawing">
    <cdr:from>
      <cdr:x>0.21625</cdr:x>
      <cdr:y>-0.0085</cdr:y>
    </cdr:from>
    <cdr:to>
      <cdr:x>0.73475</cdr:x>
      <cdr:y>0.08925</cdr:y>
    </cdr:to>
    <cdr:sp>
      <cdr:nvSpPr>
        <cdr:cNvPr id="2" name="Tekstikehys 1"/>
        <cdr:cNvSpPr txBox="1">
          <a:spLocks noChangeArrowheads="1"/>
        </cdr:cNvSpPr>
      </cdr:nvSpPr>
      <cdr:spPr>
        <a:xfrm>
          <a:off x="1285875" y="-28574"/>
          <a:ext cx="3095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Kuormakustannukset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0.00125</cdr:y>
    </cdr:from>
    <cdr:to>
      <cdr:x>0.08675</cdr:x>
      <cdr:y>0.07675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0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0.3025</cdr:x>
      <cdr:y>0.00325</cdr:y>
    </cdr:from>
    <cdr:to>
      <cdr:x>0.5975</cdr:x>
      <cdr:y>0.07875</cdr:y>
    </cdr:to>
    <cdr:sp>
      <cdr:nvSpPr>
        <cdr:cNvPr id="2" name="Tekstikehys 2"/>
        <cdr:cNvSpPr txBox="1">
          <a:spLocks noChangeArrowheads="1"/>
        </cdr:cNvSpPr>
      </cdr:nvSpPr>
      <cdr:spPr>
        <a:xfrm>
          <a:off x="1800225" y="9525"/>
          <a:ext cx="1762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TULOT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KULUT = TULOS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0.00125</cdr:y>
    </cdr:from>
    <cdr:to>
      <cdr:x>0.08625</cdr:x>
      <cdr:y>0.07675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0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€/tn</a:t>
          </a:r>
        </a:p>
      </cdr:txBody>
    </cdr:sp>
  </cdr:relSizeAnchor>
  <cdr:relSizeAnchor xmlns:cdr="http://schemas.openxmlformats.org/drawingml/2006/chartDrawing">
    <cdr:from>
      <cdr:x>0.194</cdr:x>
      <cdr:y>0.00325</cdr:y>
    </cdr:from>
    <cdr:to>
      <cdr:x>0.4875</cdr:x>
      <cdr:y>0.07875</cdr:y>
    </cdr:to>
    <cdr:sp>
      <cdr:nvSpPr>
        <cdr:cNvPr id="2" name="Tekstikehys 2"/>
        <cdr:cNvSpPr txBox="1">
          <a:spLocks noChangeArrowheads="1"/>
        </cdr:cNvSpPr>
      </cdr:nvSpPr>
      <cdr:spPr>
        <a:xfrm>
          <a:off x="1152525" y="9525"/>
          <a:ext cx="1752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TULOT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KULUT = TULOS </a:t>
          </a:r>
          <a:r>
            <a:rPr lang="en-US" cap="none" sz="14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(yksikkö, €/tn)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66675</xdr:rowOff>
    </xdr:from>
    <xdr:to>
      <xdr:col>10</xdr:col>
      <xdr:colOff>9525</xdr:colOff>
      <xdr:row>62</xdr:row>
      <xdr:rowOff>0</xdr:rowOff>
    </xdr:to>
    <xdr:graphicFrame>
      <xdr:nvGraphicFramePr>
        <xdr:cNvPr id="1" name="Kaavio 1"/>
        <xdr:cNvGraphicFramePr/>
      </xdr:nvGraphicFramePr>
      <xdr:xfrm>
        <a:off x="123825" y="5086350"/>
        <a:ext cx="59817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31</xdr:row>
      <xdr:rowOff>66675</xdr:rowOff>
    </xdr:from>
    <xdr:to>
      <xdr:col>20</xdr:col>
      <xdr:colOff>0</xdr:colOff>
      <xdr:row>54</xdr:row>
      <xdr:rowOff>95250</xdr:rowOff>
    </xdr:to>
    <xdr:graphicFrame>
      <xdr:nvGraphicFramePr>
        <xdr:cNvPr id="2" name="Kaavio 2"/>
        <xdr:cNvGraphicFramePr/>
      </xdr:nvGraphicFramePr>
      <xdr:xfrm>
        <a:off x="6219825" y="5086350"/>
        <a:ext cx="59721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123825</xdr:colOff>
      <xdr:row>55</xdr:row>
      <xdr:rowOff>9525</xdr:rowOff>
    </xdr:from>
    <xdr:to>
      <xdr:col>19</xdr:col>
      <xdr:colOff>600075</xdr:colOff>
      <xdr:row>78</xdr:row>
      <xdr:rowOff>76200</xdr:rowOff>
    </xdr:to>
    <xdr:graphicFrame>
      <xdr:nvGraphicFramePr>
        <xdr:cNvPr id="3" name="Kaavio 3"/>
        <xdr:cNvGraphicFramePr/>
      </xdr:nvGraphicFramePr>
      <xdr:xfrm>
        <a:off x="6219825" y="8915400"/>
        <a:ext cx="59626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0</xdr:row>
      <xdr:rowOff>47625</xdr:rowOff>
    </xdr:from>
    <xdr:to>
      <xdr:col>9</xdr:col>
      <xdr:colOff>600075</xdr:colOff>
      <xdr:row>30</xdr:row>
      <xdr:rowOff>142875</xdr:rowOff>
    </xdr:to>
    <xdr:graphicFrame>
      <xdr:nvGraphicFramePr>
        <xdr:cNvPr id="4" name="Kaavio 1"/>
        <xdr:cNvGraphicFramePr/>
      </xdr:nvGraphicFramePr>
      <xdr:xfrm>
        <a:off x="104775" y="47625"/>
        <a:ext cx="598170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95250</xdr:colOff>
      <xdr:row>0</xdr:row>
      <xdr:rowOff>47625</xdr:rowOff>
    </xdr:from>
    <xdr:to>
      <xdr:col>19</xdr:col>
      <xdr:colOff>590550</xdr:colOff>
      <xdr:row>30</xdr:row>
      <xdr:rowOff>142875</xdr:rowOff>
    </xdr:to>
    <xdr:graphicFrame>
      <xdr:nvGraphicFramePr>
        <xdr:cNvPr id="5" name="Kaavio 1"/>
        <xdr:cNvGraphicFramePr/>
      </xdr:nvGraphicFramePr>
      <xdr:xfrm>
        <a:off x="6191250" y="47625"/>
        <a:ext cx="5981700" cy="495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-0.0275</cdr:y>
    </cdr:from>
    <cdr:to>
      <cdr:x>0.058</cdr:x>
      <cdr:y>0.0835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-57149"/>
          <a:ext cx="209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0.29725</cdr:x>
      <cdr:y>-0.00025</cdr:y>
    </cdr:from>
    <cdr:to>
      <cdr:x>0.7295</cdr:x>
      <cdr:y>0.1495</cdr:y>
    </cdr:to>
    <cdr:sp>
      <cdr:nvSpPr>
        <cdr:cNvPr id="2" name="Tekstikehys 2"/>
        <cdr:cNvSpPr txBox="1">
          <a:spLocks noChangeArrowheads="1"/>
        </cdr:cNvSpPr>
      </cdr:nvSpPr>
      <cdr:spPr>
        <a:xfrm>
          <a:off x="1038225" y="0"/>
          <a:ext cx="1514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KUSTANNUSRAKENNE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-0.02225</cdr:y>
    </cdr:from>
    <cdr:to>
      <cdr:x>0.05675</cdr:x>
      <cdr:y>0.076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-47624"/>
          <a:ext cx="209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0.279</cdr:x>
      <cdr:y>-0.02225</cdr:y>
    </cdr:from>
    <cdr:to>
      <cdr:x>0.71225</cdr:x>
      <cdr:y>0.10225</cdr:y>
    </cdr:to>
    <cdr:sp>
      <cdr:nvSpPr>
        <cdr:cNvPr id="2" name="Tekstikehys 1"/>
        <cdr:cNvSpPr txBox="1">
          <a:spLocks noChangeArrowheads="1"/>
        </cdr:cNvSpPr>
      </cdr:nvSpPr>
      <cdr:spPr>
        <a:xfrm>
          <a:off x="971550" y="-47624"/>
          <a:ext cx="1514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TULOT - KULUT = TULOS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219075</xdr:rowOff>
    </xdr:from>
    <xdr:to>
      <xdr:col>9</xdr:col>
      <xdr:colOff>485775</xdr:colOff>
      <xdr:row>11</xdr:row>
      <xdr:rowOff>152400</xdr:rowOff>
    </xdr:to>
    <xdr:graphicFrame>
      <xdr:nvGraphicFramePr>
        <xdr:cNvPr id="1" name="Kaavio 1"/>
        <xdr:cNvGraphicFramePr/>
      </xdr:nvGraphicFramePr>
      <xdr:xfrm>
        <a:off x="4914900" y="219075"/>
        <a:ext cx="35052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12</xdr:row>
      <xdr:rowOff>66675</xdr:rowOff>
    </xdr:from>
    <xdr:to>
      <xdr:col>9</xdr:col>
      <xdr:colOff>485775</xdr:colOff>
      <xdr:row>26</xdr:row>
      <xdr:rowOff>57150</xdr:rowOff>
    </xdr:to>
    <xdr:graphicFrame>
      <xdr:nvGraphicFramePr>
        <xdr:cNvPr id="2" name="Kaavio 1"/>
        <xdr:cNvGraphicFramePr/>
      </xdr:nvGraphicFramePr>
      <xdr:xfrm>
        <a:off x="4924425" y="2486025"/>
        <a:ext cx="34956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-0.02425</cdr:y>
    </cdr:from>
    <cdr:to>
      <cdr:x>0.05675</cdr:x>
      <cdr:y>0.07425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-47624"/>
          <a:ext cx="209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0.2925</cdr:x>
      <cdr:y>-0.00025</cdr:y>
    </cdr:from>
    <cdr:to>
      <cdr:x>0.724</cdr:x>
      <cdr:y>0.13675</cdr:y>
    </cdr:to>
    <cdr:sp>
      <cdr:nvSpPr>
        <cdr:cNvPr id="2" name="Tekstikehys 2"/>
        <cdr:cNvSpPr txBox="1">
          <a:spLocks noChangeArrowheads="1"/>
        </cdr:cNvSpPr>
      </cdr:nvSpPr>
      <cdr:spPr>
        <a:xfrm>
          <a:off x="1019175" y="0"/>
          <a:ext cx="1514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KUSTANNUSRAKENNE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-0.022</cdr:y>
    </cdr:from>
    <cdr:to>
      <cdr:x>0.05675</cdr:x>
      <cdr:y>0.076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-47624"/>
          <a:ext cx="209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0.279</cdr:x>
      <cdr:y>-0.022</cdr:y>
    </cdr:from>
    <cdr:to>
      <cdr:x>0.71225</cdr:x>
      <cdr:y>0.10225</cdr:y>
    </cdr:to>
    <cdr:sp>
      <cdr:nvSpPr>
        <cdr:cNvPr id="2" name="Tekstikehys 1"/>
        <cdr:cNvSpPr txBox="1">
          <a:spLocks noChangeArrowheads="1"/>
        </cdr:cNvSpPr>
      </cdr:nvSpPr>
      <cdr:spPr>
        <a:xfrm>
          <a:off x="971550" y="-47624"/>
          <a:ext cx="1514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TULOT - KULUT = TULOS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276225</xdr:rowOff>
    </xdr:from>
    <xdr:to>
      <xdr:col>9</xdr:col>
      <xdr:colOff>504825</xdr:colOff>
      <xdr:row>12</xdr:row>
      <xdr:rowOff>47625</xdr:rowOff>
    </xdr:to>
    <xdr:graphicFrame>
      <xdr:nvGraphicFramePr>
        <xdr:cNvPr id="1" name="Kaavio 1"/>
        <xdr:cNvGraphicFramePr/>
      </xdr:nvGraphicFramePr>
      <xdr:xfrm>
        <a:off x="4933950" y="276225"/>
        <a:ext cx="35052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12</xdr:row>
      <xdr:rowOff>104775</xdr:rowOff>
    </xdr:from>
    <xdr:to>
      <xdr:col>9</xdr:col>
      <xdr:colOff>504825</xdr:colOff>
      <xdr:row>26</xdr:row>
      <xdr:rowOff>104775</xdr:rowOff>
    </xdr:to>
    <xdr:graphicFrame>
      <xdr:nvGraphicFramePr>
        <xdr:cNvPr id="2" name="Kaavio 1"/>
        <xdr:cNvGraphicFramePr/>
      </xdr:nvGraphicFramePr>
      <xdr:xfrm>
        <a:off x="4953000" y="2524125"/>
        <a:ext cx="3486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0.00125</cdr:y>
    </cdr:from>
    <cdr:to>
      <cdr:x>0.09775</cdr:x>
      <cdr:y>0.07675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0"/>
          <a:ext cx="581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0.30425</cdr:x>
      <cdr:y>0.00325</cdr:y>
    </cdr:from>
    <cdr:to>
      <cdr:x>0.5865</cdr:x>
      <cdr:y>0.07875</cdr:y>
    </cdr:to>
    <cdr:sp>
      <cdr:nvSpPr>
        <cdr:cNvPr id="2" name="Tekstikehys 2"/>
        <cdr:cNvSpPr txBox="1">
          <a:spLocks noChangeArrowheads="1"/>
        </cdr:cNvSpPr>
      </cdr:nvSpPr>
      <cdr:spPr>
        <a:xfrm>
          <a:off x="1819275" y="9525"/>
          <a:ext cx="16859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Vuosittaiset kokonaiskustannukset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-0.00375</cdr:y>
    </cdr:from>
    <cdr:to>
      <cdr:x>0.06275</cdr:x>
      <cdr:y>0.07575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38100" y="-9524"/>
          <a:ext cx="3333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€</a:t>
          </a:r>
        </a:p>
      </cdr:txBody>
    </cdr:sp>
  </cdr:relSizeAnchor>
  <cdr:relSizeAnchor xmlns:cdr="http://schemas.openxmlformats.org/drawingml/2006/chartDrawing">
    <cdr:from>
      <cdr:x>0.2565</cdr:x>
      <cdr:y>-0.01425</cdr:y>
    </cdr:from>
    <cdr:to>
      <cdr:x>0.63475</cdr:x>
      <cdr:y>0.08625</cdr:y>
    </cdr:to>
    <cdr:sp>
      <cdr:nvSpPr>
        <cdr:cNvPr id="2" name="Tekstikehys 1"/>
        <cdr:cNvSpPr txBox="1">
          <a:spLocks noChangeArrowheads="1"/>
        </cdr:cNvSpPr>
      </cdr:nvSpPr>
      <cdr:spPr>
        <a:xfrm>
          <a:off x="1524000" y="-47624"/>
          <a:ext cx="2257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Kilometri- ja tonnikustannukset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0.28125" style="8" customWidth="1"/>
    <col min="3" max="3" width="9.140625" style="8" customWidth="1"/>
    <col min="4" max="4" width="10.57421875" style="8" customWidth="1"/>
    <col min="5" max="16384" width="9.140625" style="8" customWidth="1"/>
  </cols>
  <sheetData>
    <row r="1" ht="18" customHeight="1">
      <c r="B1" s="7"/>
    </row>
    <row r="2" spans="2:4" ht="26.25">
      <c r="B2" s="9"/>
      <c r="D2" s="13" t="s">
        <v>37</v>
      </c>
    </row>
    <row r="3" ht="26.25">
      <c r="B3" s="9"/>
    </row>
    <row r="4" ht="26.25">
      <c r="B4" s="9"/>
    </row>
    <row r="5" ht="30" customHeight="1">
      <c r="B5" s="9"/>
    </row>
    <row r="6" spans="2:4" ht="26.25">
      <c r="B6" s="9"/>
      <c r="D6" s="12" t="s">
        <v>42</v>
      </c>
    </row>
    <row r="7" spans="2:4" ht="26.25">
      <c r="B7" s="9"/>
      <c r="D7" s="12" t="s">
        <v>41</v>
      </c>
    </row>
    <row r="8" spans="2:4" ht="26.25">
      <c r="B8" s="9"/>
      <c r="D8" s="12" t="s">
        <v>43</v>
      </c>
    </row>
    <row r="9" spans="2:4" ht="26.25">
      <c r="B9" s="9"/>
      <c r="D9" s="12" t="s">
        <v>79</v>
      </c>
    </row>
    <row r="10" ht="12.75">
      <c r="B10" s="7"/>
    </row>
    <row r="11" ht="14.25">
      <c r="B11" s="10" t="s">
        <v>38</v>
      </c>
    </row>
    <row r="12" ht="14.25">
      <c r="B12" s="10" t="s">
        <v>82</v>
      </c>
    </row>
    <row r="13" ht="14.25">
      <c r="B13" s="10" t="s">
        <v>88</v>
      </c>
    </row>
    <row r="14" ht="14.25">
      <c r="B14" s="10" t="s">
        <v>101</v>
      </c>
    </row>
    <row r="15" ht="14.25">
      <c r="B15" s="10" t="s">
        <v>94</v>
      </c>
    </row>
    <row r="16" ht="14.25">
      <c r="B16" s="10" t="s">
        <v>96</v>
      </c>
    </row>
    <row r="17" ht="14.25">
      <c r="B17" s="10"/>
    </row>
    <row r="18" ht="14.25">
      <c r="B18" s="10" t="s">
        <v>95</v>
      </c>
    </row>
    <row r="19" ht="14.25">
      <c r="B19" s="10" t="s">
        <v>98</v>
      </c>
    </row>
    <row r="20" ht="14.25">
      <c r="B20" s="10" t="s">
        <v>40</v>
      </c>
    </row>
    <row r="21" ht="14.25">
      <c r="B21" s="10" t="s">
        <v>87</v>
      </c>
    </row>
    <row r="22" ht="14.25">
      <c r="B22" s="10"/>
    </row>
    <row r="23" ht="14.25">
      <c r="B23" s="10" t="s">
        <v>39</v>
      </c>
    </row>
    <row r="24" ht="14.25">
      <c r="B24" s="10" t="s">
        <v>97</v>
      </c>
    </row>
    <row r="25" ht="14.25">
      <c r="B25" s="10" t="s">
        <v>102</v>
      </c>
    </row>
    <row r="26" ht="14.25">
      <c r="B26" s="10" t="s">
        <v>99</v>
      </c>
    </row>
    <row r="27" ht="14.25">
      <c r="B27" s="10" t="s">
        <v>103</v>
      </c>
    </row>
    <row r="28" ht="14.25">
      <c r="B28" s="10"/>
    </row>
    <row r="29" spans="2:5" ht="15">
      <c r="B29" s="11" t="s">
        <v>44</v>
      </c>
      <c r="E29" s="37" t="s">
        <v>35</v>
      </c>
    </row>
    <row r="30" spans="2:5" ht="15">
      <c r="B30" s="11"/>
      <c r="E30" s="37" t="s">
        <v>34</v>
      </c>
    </row>
    <row r="33" ht="12.75"/>
    <row r="34" ht="12.75"/>
    <row r="35" ht="12.75"/>
    <row r="36" ht="12.75"/>
    <row r="37" ht="12.75"/>
  </sheetData>
  <sheetProtection password="CA49" sheet="1" objects="1"/>
  <hyperlinks>
    <hyperlink ref="E29" location="Kiinteäkonttinen!A1" display="Kiinteäkonttinen"/>
    <hyperlink ref="E30" location="Siirtokontti!A1" display="Siirtokontti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35.8515625" style="0" customWidth="1"/>
    <col min="3" max="3" width="9.57421875" style="0" customWidth="1"/>
    <col min="4" max="4" width="10.00390625" style="0" customWidth="1"/>
    <col min="5" max="5" width="8.28125" style="0" customWidth="1"/>
    <col min="6" max="6" width="9.8515625" style="0" customWidth="1"/>
    <col min="7" max="7" width="10.8515625" style="0" customWidth="1"/>
  </cols>
  <sheetData>
    <row r="1" ht="22.5">
      <c r="A1" s="68" t="s">
        <v>74</v>
      </c>
    </row>
    <row r="2" ht="22.5">
      <c r="A2" s="68"/>
    </row>
    <row r="3" ht="18.75">
      <c r="A3" s="69" t="s">
        <v>75</v>
      </c>
    </row>
    <row r="4" ht="18.75">
      <c r="A4" s="69"/>
    </row>
    <row r="5" spans="1:4" ht="12.75">
      <c r="A5" s="70" t="s">
        <v>89</v>
      </c>
      <c r="B5" s="19" t="s">
        <v>91</v>
      </c>
      <c r="C5" s="48">
        <f>C21*C6</f>
        <v>323750</v>
      </c>
      <c r="D5" s="44" t="s">
        <v>61</v>
      </c>
    </row>
    <row r="6" spans="1:4" ht="12.75">
      <c r="A6" s="71"/>
      <c r="B6" s="43" t="s">
        <v>100</v>
      </c>
      <c r="C6" s="62">
        <v>7</v>
      </c>
      <c r="D6" s="44" t="s">
        <v>71</v>
      </c>
    </row>
    <row r="7" ht="18.75">
      <c r="A7" s="69"/>
    </row>
    <row r="8" spans="1:4" ht="12.75" customHeight="1">
      <c r="A8" s="70" t="s">
        <v>90</v>
      </c>
      <c r="B8" s="19" t="s">
        <v>50</v>
      </c>
      <c r="C8" s="42">
        <f>$G$35+$G$36+$E$37+$E$38+$E$39+$E$40+$G$41</f>
        <v>57805.43388656249</v>
      </c>
      <c r="D8" s="44" t="s">
        <v>61</v>
      </c>
    </row>
    <row r="9" spans="1:4" ht="12.75" customHeight="1">
      <c r="A9" s="71"/>
      <c r="B9" s="19" t="s">
        <v>51</v>
      </c>
      <c r="C9" s="42">
        <f>$G$43+$G$44</f>
        <v>95865</v>
      </c>
      <c r="D9" s="44" t="s">
        <v>61</v>
      </c>
    </row>
    <row r="10" spans="1:4" ht="12.75" customHeight="1">
      <c r="A10" s="71"/>
      <c r="B10" s="18" t="s">
        <v>53</v>
      </c>
      <c r="C10" s="42">
        <f>$G$51*$C$19/100</f>
        <v>86316.96428571429</v>
      </c>
      <c r="D10" s="44" t="s">
        <v>61</v>
      </c>
    </row>
    <row r="11" spans="1:4" ht="12.75" customHeight="1">
      <c r="A11" s="71"/>
      <c r="B11" s="60" t="s">
        <v>68</v>
      </c>
      <c r="C11" s="61">
        <f>$C$8+$C$9+$C$10</f>
        <v>239987.39817227676</v>
      </c>
      <c r="D11" s="52" t="s">
        <v>61</v>
      </c>
    </row>
    <row r="12" spans="1:4" ht="12.75" customHeight="1">
      <c r="A12" s="71"/>
      <c r="B12" s="58" t="s">
        <v>84</v>
      </c>
      <c r="C12" s="47">
        <f>C11/C21</f>
        <v>5.188916717238416</v>
      </c>
      <c r="D12" s="45" t="s">
        <v>71</v>
      </c>
    </row>
    <row r="13" spans="1:4" ht="12.75" customHeight="1">
      <c r="A13" s="71"/>
      <c r="B13" s="55"/>
      <c r="C13" s="56"/>
      <c r="D13" s="46"/>
    </row>
    <row r="14" spans="1:4" ht="12.75" customHeight="1">
      <c r="A14" s="70" t="s">
        <v>86</v>
      </c>
      <c r="B14" s="19" t="s">
        <v>86</v>
      </c>
      <c r="C14" s="48">
        <f>C5-C11</f>
        <v>83762.60182772324</v>
      </c>
      <c r="D14" s="44" t="s">
        <v>61</v>
      </c>
    </row>
    <row r="15" spans="1:4" ht="12.75" customHeight="1">
      <c r="A15" s="71"/>
      <c r="B15" s="43" t="s">
        <v>85</v>
      </c>
      <c r="C15" s="49">
        <f>C6-C12</f>
        <v>1.811083282761584</v>
      </c>
      <c r="D15" s="44" t="s">
        <v>71</v>
      </c>
    </row>
    <row r="16" spans="1:4" ht="12.75" customHeight="1">
      <c r="A16" s="71"/>
      <c r="B16" s="55"/>
      <c r="C16" s="56"/>
      <c r="D16" s="46"/>
    </row>
    <row r="17" spans="1:4" ht="12.75" customHeight="1">
      <c r="A17" s="70" t="s">
        <v>54</v>
      </c>
      <c r="B17" s="59" t="s">
        <v>52</v>
      </c>
      <c r="C17" s="42">
        <f>$E$29+$E$30+$E$31+$E$32+$E$33</f>
        <v>251778</v>
      </c>
      <c r="D17" s="44" t="s">
        <v>56</v>
      </c>
    </row>
    <row r="18" spans="1:4" ht="12.75" customHeight="1">
      <c r="A18" s="72"/>
      <c r="B18" s="57" t="s">
        <v>8</v>
      </c>
      <c r="C18" s="53">
        <f>$E$55*$E$54</f>
        <v>1250</v>
      </c>
      <c r="D18" s="54" t="s">
        <v>66</v>
      </c>
    </row>
    <row r="19" spans="1:4" ht="12.75" customHeight="1">
      <c r="A19" s="72"/>
      <c r="B19" s="19" t="s">
        <v>9</v>
      </c>
      <c r="C19" s="43">
        <f>INT($E$57*2*$C$18)</f>
        <v>125000</v>
      </c>
      <c r="D19" s="44" t="s">
        <v>0</v>
      </c>
    </row>
    <row r="20" spans="1:4" ht="12.75" customHeight="1">
      <c r="A20" s="71"/>
      <c r="B20" s="19" t="s">
        <v>10</v>
      </c>
      <c r="C20" s="43">
        <f>INT($C$19*$E$59)</f>
        <v>875000</v>
      </c>
      <c r="D20" s="44" t="s">
        <v>33</v>
      </c>
    </row>
    <row r="21" spans="1:4" ht="12.75" customHeight="1">
      <c r="A21" s="71"/>
      <c r="B21" s="20" t="s">
        <v>15</v>
      </c>
      <c r="C21" s="48">
        <f>$E$53*$C$18</f>
        <v>46250</v>
      </c>
      <c r="D21" s="44" t="s">
        <v>67</v>
      </c>
    </row>
    <row r="22" spans="1:4" ht="12.75" customHeight="1">
      <c r="A22" s="71"/>
      <c r="B22" s="19" t="s">
        <v>30</v>
      </c>
      <c r="C22" s="49">
        <f>$C$11/$C$19</f>
        <v>1.9198991853782141</v>
      </c>
      <c r="D22" s="44" t="s">
        <v>36</v>
      </c>
    </row>
    <row r="23" spans="1:4" ht="12.75" customHeight="1">
      <c r="A23" s="71"/>
      <c r="B23" s="19" t="s">
        <v>70</v>
      </c>
      <c r="C23" s="49">
        <f>$C$11/$C$21</f>
        <v>5.188916717238416</v>
      </c>
      <c r="D23" s="44" t="s">
        <v>71</v>
      </c>
    </row>
    <row r="24" spans="1:4" ht="12.75" customHeight="1">
      <c r="A24" s="71"/>
      <c r="B24" s="19" t="s">
        <v>31</v>
      </c>
      <c r="C24" s="48">
        <f>$C$11/$C$18</f>
        <v>191.9899185378214</v>
      </c>
      <c r="D24" s="44" t="s">
        <v>69</v>
      </c>
    </row>
    <row r="25" spans="1:4" ht="12.75" customHeight="1">
      <c r="A25" s="71"/>
      <c r="B25" s="3"/>
      <c r="C25" s="50"/>
      <c r="D25" s="46"/>
    </row>
    <row r="26" ht="22.5">
      <c r="A26" s="68"/>
    </row>
    <row r="27" spans="1:3" ht="18.75">
      <c r="A27" s="69" t="s">
        <v>76</v>
      </c>
      <c r="C27" s="6"/>
    </row>
    <row r="28" spans="1:11" ht="25.5">
      <c r="A28" s="73"/>
      <c r="B28" s="15" t="s">
        <v>45</v>
      </c>
      <c r="C28" s="16" t="s">
        <v>46</v>
      </c>
      <c r="D28" s="17" t="s">
        <v>47</v>
      </c>
      <c r="E28" s="17" t="s">
        <v>48</v>
      </c>
      <c r="F28" s="15" t="s">
        <v>55</v>
      </c>
      <c r="G28" s="15" t="s">
        <v>73</v>
      </c>
      <c r="I28" s="35"/>
      <c r="J28" s="35"/>
      <c r="K28" s="35"/>
    </row>
    <row r="29" spans="1:16" ht="12.75">
      <c r="A29" s="71"/>
      <c r="B29" s="19" t="s">
        <v>81</v>
      </c>
      <c r="C29" s="63"/>
      <c r="D29" s="32">
        <v>141000</v>
      </c>
      <c r="E29" s="32">
        <f>IF(ISBLANK(C29),D29,C29)</f>
        <v>141000</v>
      </c>
      <c r="F29" s="21" t="s">
        <v>56</v>
      </c>
      <c r="G29" s="18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71"/>
      <c r="B30" s="19" t="s">
        <v>80</v>
      </c>
      <c r="C30" s="63"/>
      <c r="D30" s="32">
        <v>41000</v>
      </c>
      <c r="E30" s="32">
        <f aca="true" t="shared" si="0" ref="E30:E64">IF(ISBLANK(C30),D30,C30)</f>
        <v>41000</v>
      </c>
      <c r="F30" s="21" t="s">
        <v>56</v>
      </c>
      <c r="G30" s="18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71"/>
      <c r="B31" s="19" t="s">
        <v>2</v>
      </c>
      <c r="C31" s="63"/>
      <c r="D31" s="32">
        <v>83000</v>
      </c>
      <c r="E31" s="32">
        <f t="shared" si="0"/>
        <v>83000</v>
      </c>
      <c r="F31" s="21" t="s">
        <v>56</v>
      </c>
      <c r="G31" s="18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71"/>
      <c r="B32" s="19" t="s">
        <v>83</v>
      </c>
      <c r="C32" s="64"/>
      <c r="D32" s="34">
        <v>623</v>
      </c>
      <c r="E32" s="32">
        <f>-$D$32*10</f>
        <v>-6230</v>
      </c>
      <c r="F32" s="21" t="s">
        <v>56</v>
      </c>
      <c r="G32" s="18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71"/>
      <c r="B33" s="19" t="s">
        <v>72</v>
      </c>
      <c r="C33" s="64"/>
      <c r="D33" s="34">
        <v>437</v>
      </c>
      <c r="E33" s="32">
        <f>-$D$33*16</f>
        <v>-6992</v>
      </c>
      <c r="F33" s="21" t="s">
        <v>56</v>
      </c>
      <c r="G33" s="18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71"/>
      <c r="B34" s="19"/>
      <c r="C34" s="25"/>
      <c r="D34" s="18"/>
      <c r="E34" s="18"/>
      <c r="F34" s="21"/>
      <c r="G34" s="18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4.25" customHeight="1">
      <c r="A35" s="71"/>
      <c r="B35" s="19" t="s">
        <v>23</v>
      </c>
      <c r="C35" s="63"/>
      <c r="D35" s="18">
        <v>5</v>
      </c>
      <c r="E35" s="18">
        <f t="shared" si="0"/>
        <v>5</v>
      </c>
      <c r="F35" s="21" t="s">
        <v>1</v>
      </c>
      <c r="G35" s="19">
        <f>(1-0.8^$E$59)/$E$59*($E$29+$E$30+$E$32)*$E$35/20+(1-0.75^$E$60)/$E$60*($E$31+$E$33)*$E$35/25</f>
        <v>6842.788738808034</v>
      </c>
      <c r="H35" s="36" t="s">
        <v>61</v>
      </c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71"/>
      <c r="B36" s="19" t="s">
        <v>22</v>
      </c>
      <c r="C36" s="25"/>
      <c r="D36" s="19"/>
      <c r="E36" s="18"/>
      <c r="F36" s="21"/>
      <c r="G36" s="19">
        <f>(1-0.8^$E$59)/$E$59*($E$29+$E$30+$E$32)+(1-0.75^$E$60)/$E$60*($E$31+$E$33)</f>
        <v>29252.93086204017</v>
      </c>
      <c r="H36" s="36" t="s">
        <v>61</v>
      </c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71"/>
      <c r="B37" s="19" t="s">
        <v>24</v>
      </c>
      <c r="C37" s="63"/>
      <c r="D37" s="23">
        <v>11000</v>
      </c>
      <c r="E37" s="32">
        <f t="shared" si="0"/>
        <v>11000</v>
      </c>
      <c r="F37" s="21" t="s">
        <v>61</v>
      </c>
      <c r="G37" s="18"/>
      <c r="H37" s="36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71"/>
      <c r="B38" s="19" t="s">
        <v>25</v>
      </c>
      <c r="C38" s="63"/>
      <c r="D38" s="32">
        <v>2500</v>
      </c>
      <c r="E38" s="32">
        <f t="shared" si="0"/>
        <v>2500</v>
      </c>
      <c r="F38" s="21" t="s">
        <v>61</v>
      </c>
      <c r="G38" s="18"/>
      <c r="H38" s="36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71"/>
      <c r="B39" s="19" t="s">
        <v>27</v>
      </c>
      <c r="C39" s="63"/>
      <c r="D39" s="18">
        <v>5000</v>
      </c>
      <c r="E39" s="18">
        <f t="shared" si="0"/>
        <v>5000</v>
      </c>
      <c r="F39" s="21" t="s">
        <v>61</v>
      </c>
      <c r="G39" s="18"/>
      <c r="H39" s="36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71"/>
      <c r="B40" s="19" t="s">
        <v>28</v>
      </c>
      <c r="C40" s="63"/>
      <c r="D40" s="23">
        <v>1000</v>
      </c>
      <c r="E40" s="32">
        <f t="shared" si="0"/>
        <v>1000</v>
      </c>
      <c r="F40" s="21" t="s">
        <v>61</v>
      </c>
      <c r="G40" s="18"/>
      <c r="H40" s="36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71"/>
      <c r="B41" s="19" t="s">
        <v>29</v>
      </c>
      <c r="C41" s="63"/>
      <c r="D41" s="32">
        <v>4000</v>
      </c>
      <c r="E41" s="32">
        <f t="shared" si="0"/>
        <v>4000</v>
      </c>
      <c r="F41" s="21" t="s">
        <v>33</v>
      </c>
      <c r="G41" s="19">
        <f>0.8*$G$51*$E$41/100</f>
        <v>2209.714285714286</v>
      </c>
      <c r="H41" s="36" t="s">
        <v>61</v>
      </c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71"/>
      <c r="B42" s="15"/>
      <c r="C42" s="25"/>
      <c r="D42" s="18"/>
      <c r="E42" s="18"/>
      <c r="F42" s="21"/>
      <c r="G42" s="18"/>
      <c r="H42" s="36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71"/>
      <c r="B43" s="19" t="s">
        <v>17</v>
      </c>
      <c r="C43" s="65"/>
      <c r="D43" s="51">
        <v>14</v>
      </c>
      <c r="E43" s="29">
        <f t="shared" si="0"/>
        <v>14</v>
      </c>
      <c r="F43" s="21" t="s">
        <v>57</v>
      </c>
      <c r="G43" s="18">
        <f>$E$43*($G$63+$G$64)</f>
        <v>57750</v>
      </c>
      <c r="H43" s="36" t="s">
        <v>61</v>
      </c>
      <c r="I43" s="14"/>
      <c r="J43" s="14"/>
      <c r="K43" s="14"/>
      <c r="L43" s="14"/>
      <c r="M43" s="14"/>
      <c r="N43" s="14"/>
      <c r="O43" s="14"/>
      <c r="P43" s="14"/>
    </row>
    <row r="44" spans="1:16" ht="12.75">
      <c r="A44" s="71"/>
      <c r="B44" s="19" t="s">
        <v>18</v>
      </c>
      <c r="C44" s="63"/>
      <c r="D44" s="18">
        <v>66</v>
      </c>
      <c r="E44" s="18">
        <f t="shared" si="0"/>
        <v>66</v>
      </c>
      <c r="F44" s="21" t="s">
        <v>1</v>
      </c>
      <c r="G44" s="18">
        <f>$E$44/100*$G$43</f>
        <v>38115</v>
      </c>
      <c r="H44" s="36" t="s">
        <v>61</v>
      </c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71"/>
      <c r="B45" s="15"/>
      <c r="C45" s="25"/>
      <c r="D45" s="18"/>
      <c r="E45" s="18"/>
      <c r="F45" s="21"/>
      <c r="G45" s="18"/>
      <c r="H45" s="36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71"/>
      <c r="B46" s="19" t="s">
        <v>19</v>
      </c>
      <c r="C46" s="66"/>
      <c r="D46" s="22">
        <v>1.3</v>
      </c>
      <c r="E46" s="22">
        <f t="shared" si="0"/>
        <v>1.3</v>
      </c>
      <c r="F46" s="21" t="s">
        <v>60</v>
      </c>
      <c r="G46" s="29">
        <f>$E$46*$E$47</f>
        <v>53.300000000000004</v>
      </c>
      <c r="H46" s="36" t="s">
        <v>32</v>
      </c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71"/>
      <c r="B47" s="19" t="s">
        <v>13</v>
      </c>
      <c r="C47" s="65"/>
      <c r="D47" s="29">
        <v>41</v>
      </c>
      <c r="E47" s="29">
        <f t="shared" si="0"/>
        <v>41</v>
      </c>
      <c r="F47" s="21" t="s">
        <v>59</v>
      </c>
      <c r="G47" s="29"/>
      <c r="H47" s="36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71"/>
      <c r="B48" s="19" t="s">
        <v>20</v>
      </c>
      <c r="C48" s="63"/>
      <c r="D48" s="32">
        <v>2000</v>
      </c>
      <c r="E48" s="32">
        <f t="shared" si="0"/>
        <v>2000</v>
      </c>
      <c r="F48" s="21" t="s">
        <v>61</v>
      </c>
      <c r="G48" s="29">
        <f>$E$48/$C$19*100</f>
        <v>1.6</v>
      </c>
      <c r="H48" s="36" t="s">
        <v>32</v>
      </c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71"/>
      <c r="B49" s="19" t="s">
        <v>21</v>
      </c>
      <c r="C49" s="63"/>
      <c r="D49" s="32">
        <v>17000</v>
      </c>
      <c r="E49" s="32">
        <f t="shared" si="0"/>
        <v>17000</v>
      </c>
      <c r="F49" s="21" t="s">
        <v>61</v>
      </c>
      <c r="G49" s="29">
        <f>$E$49/$C$19*100</f>
        <v>13.600000000000001</v>
      </c>
      <c r="H49" s="36" t="s">
        <v>32</v>
      </c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71"/>
      <c r="B50" s="19" t="s">
        <v>49</v>
      </c>
      <c r="C50" s="63"/>
      <c r="D50" s="32">
        <v>200</v>
      </c>
      <c r="E50" s="32">
        <f t="shared" si="0"/>
        <v>200</v>
      </c>
      <c r="F50" s="21" t="s">
        <v>62</v>
      </c>
      <c r="G50" s="24">
        <f>(($D$32+(2*$E$50))+($D$33+(2*$E$50)))/(($E$61*(1+2*0.9)))*100</f>
        <v>0.5535714285714285</v>
      </c>
      <c r="H50" s="36" t="s">
        <v>32</v>
      </c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71"/>
      <c r="B51" s="15" t="s">
        <v>92</v>
      </c>
      <c r="C51" s="25"/>
      <c r="D51" s="18"/>
      <c r="E51" s="18"/>
      <c r="F51" s="21"/>
      <c r="G51" s="29">
        <f>$G$46+$G$48+$G$49+$G$50</f>
        <v>69.05357142857143</v>
      </c>
      <c r="H51" s="36" t="s">
        <v>32</v>
      </c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71"/>
      <c r="B52" s="15"/>
      <c r="C52" s="25"/>
      <c r="D52" s="18"/>
      <c r="E52" s="18"/>
      <c r="F52" s="21"/>
      <c r="G52" s="18"/>
      <c r="H52" s="36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71"/>
      <c r="B53" s="19" t="s">
        <v>3</v>
      </c>
      <c r="C53" s="63"/>
      <c r="D53" s="18">
        <v>37</v>
      </c>
      <c r="E53" s="18">
        <f t="shared" si="0"/>
        <v>37</v>
      </c>
      <c r="F53" s="21" t="s">
        <v>63</v>
      </c>
      <c r="G53" s="18"/>
      <c r="H53" s="36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71"/>
      <c r="B54" s="19" t="s">
        <v>4</v>
      </c>
      <c r="C54" s="63"/>
      <c r="D54" s="18">
        <v>250</v>
      </c>
      <c r="E54" s="18">
        <f t="shared" si="0"/>
        <v>250</v>
      </c>
      <c r="F54" s="21" t="s">
        <v>77</v>
      </c>
      <c r="G54" s="18"/>
      <c r="H54" s="36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71"/>
      <c r="B55" s="19" t="s">
        <v>5</v>
      </c>
      <c r="C55" s="63"/>
      <c r="D55" s="18">
        <v>5</v>
      </c>
      <c r="E55" s="18">
        <f t="shared" si="0"/>
        <v>5</v>
      </c>
      <c r="F55" s="21" t="s">
        <v>78</v>
      </c>
      <c r="G55" s="18"/>
      <c r="H55" s="36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71"/>
      <c r="B56" s="19" t="s">
        <v>6</v>
      </c>
      <c r="C56" s="63"/>
      <c r="D56" s="22">
        <v>3</v>
      </c>
      <c r="E56" s="22">
        <f t="shared" si="0"/>
        <v>3</v>
      </c>
      <c r="F56" s="21" t="s">
        <v>64</v>
      </c>
      <c r="G56" s="18"/>
      <c r="H56" s="36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71"/>
      <c r="B57" s="19" t="s">
        <v>7</v>
      </c>
      <c r="C57" s="63"/>
      <c r="D57" s="18">
        <v>50</v>
      </c>
      <c r="E57" s="18">
        <f t="shared" si="0"/>
        <v>50</v>
      </c>
      <c r="F57" s="21" t="s">
        <v>33</v>
      </c>
      <c r="G57" s="18"/>
      <c r="H57" s="36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71"/>
      <c r="B58" s="15"/>
      <c r="C58" s="25"/>
      <c r="D58" s="18"/>
      <c r="E58" s="18"/>
      <c r="F58" s="21"/>
      <c r="G58" s="18"/>
      <c r="H58" s="36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71"/>
      <c r="B59" s="19" t="s">
        <v>11</v>
      </c>
      <c r="C59" s="63"/>
      <c r="D59" s="22">
        <v>7</v>
      </c>
      <c r="E59" s="22">
        <f t="shared" si="0"/>
        <v>7</v>
      </c>
      <c r="F59" s="21" t="s">
        <v>65</v>
      </c>
      <c r="G59" s="18"/>
      <c r="H59" s="36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71"/>
      <c r="B60" s="20" t="s">
        <v>12</v>
      </c>
      <c r="C60" s="63"/>
      <c r="D60" s="22">
        <v>7</v>
      </c>
      <c r="E60" s="22">
        <f t="shared" si="0"/>
        <v>7</v>
      </c>
      <c r="F60" s="21" t="s">
        <v>65</v>
      </c>
      <c r="G60" s="18"/>
      <c r="H60" s="36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71"/>
      <c r="B61" s="19" t="s">
        <v>14</v>
      </c>
      <c r="C61" s="67"/>
      <c r="D61" s="33">
        <v>120000</v>
      </c>
      <c r="E61" s="33">
        <f t="shared" si="0"/>
        <v>120000</v>
      </c>
      <c r="F61" s="21" t="s">
        <v>33</v>
      </c>
      <c r="G61" s="18"/>
      <c r="H61" s="36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71"/>
      <c r="B62" s="41"/>
      <c r="C62" s="25"/>
      <c r="D62" s="18"/>
      <c r="E62" s="18"/>
      <c r="F62" s="21"/>
      <c r="G62" s="18"/>
      <c r="H62" s="36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71"/>
      <c r="B63" s="5" t="s">
        <v>16</v>
      </c>
      <c r="C63" s="25"/>
      <c r="D63" s="40"/>
      <c r="E63" s="40"/>
      <c r="F63" s="39"/>
      <c r="G63" s="26">
        <f>$E$56*$C$18</f>
        <v>3750</v>
      </c>
      <c r="H63" s="36" t="s">
        <v>26</v>
      </c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71"/>
      <c r="B64" s="19" t="s">
        <v>58</v>
      </c>
      <c r="C64" s="63"/>
      <c r="D64" s="18">
        <v>10</v>
      </c>
      <c r="E64" s="18">
        <f t="shared" si="0"/>
        <v>10</v>
      </c>
      <c r="F64" s="21" t="s">
        <v>1</v>
      </c>
      <c r="G64" s="19">
        <f>($E$64/100)*$G$63</f>
        <v>375</v>
      </c>
      <c r="H64" s="36" t="s">
        <v>26</v>
      </c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71"/>
      <c r="E65" s="27"/>
      <c r="F65" s="27"/>
      <c r="G65" s="27"/>
      <c r="H65" s="4"/>
      <c r="I65" s="14"/>
      <c r="J65" s="14"/>
      <c r="O65" s="14"/>
      <c r="P65" s="14"/>
    </row>
    <row r="66" spans="1:16" ht="12.75">
      <c r="A66" s="74"/>
      <c r="E66" s="27"/>
      <c r="F66" s="28"/>
      <c r="G66" s="4"/>
      <c r="H66" s="4"/>
      <c r="I66" s="14"/>
      <c r="J66" s="14"/>
      <c r="O66" s="14"/>
      <c r="P66" s="14"/>
    </row>
    <row r="67" spans="1:16" ht="12.75">
      <c r="A67" s="74"/>
      <c r="E67" s="27"/>
      <c r="F67" s="28"/>
      <c r="G67" s="4"/>
      <c r="H67" s="4"/>
      <c r="I67" s="14"/>
      <c r="J67" s="14"/>
      <c r="O67" s="14"/>
      <c r="P67" s="14"/>
    </row>
    <row r="68" spans="1:16" ht="12.75">
      <c r="A68" s="74"/>
      <c r="E68" s="27"/>
      <c r="F68" s="28"/>
      <c r="G68" s="4"/>
      <c r="H68" s="4"/>
      <c r="I68" s="14"/>
      <c r="J68" s="14"/>
      <c r="O68" s="14"/>
      <c r="P68" s="14"/>
    </row>
    <row r="69" spans="1:16" ht="12.75">
      <c r="A69" s="74"/>
      <c r="E69" s="27"/>
      <c r="F69" s="28"/>
      <c r="G69" s="4"/>
      <c r="H69" s="4"/>
      <c r="I69" s="14"/>
      <c r="J69" s="14"/>
      <c r="O69" s="14"/>
      <c r="P69" s="14"/>
    </row>
    <row r="70" spans="1:16" ht="12.75" customHeight="1">
      <c r="A70" s="74"/>
      <c r="E70" s="27"/>
      <c r="F70" s="28"/>
      <c r="G70" s="4"/>
      <c r="H70" s="4"/>
      <c r="I70" s="14"/>
      <c r="J70" s="14"/>
      <c r="O70" s="14"/>
      <c r="P70" s="14"/>
    </row>
    <row r="71" spans="1:16" ht="12.75" customHeight="1">
      <c r="A71" s="74"/>
      <c r="E71" s="27"/>
      <c r="F71" s="28"/>
      <c r="G71" s="4"/>
      <c r="H71" s="4"/>
      <c r="I71" s="14"/>
      <c r="J71" s="14"/>
      <c r="O71" s="14"/>
      <c r="P71" s="14"/>
    </row>
    <row r="72" spans="1:16" ht="12.75">
      <c r="A72" s="74"/>
      <c r="E72" s="27"/>
      <c r="F72" s="4"/>
      <c r="G72" s="4"/>
      <c r="H72" s="4"/>
      <c r="I72" s="14"/>
      <c r="J72" s="14"/>
      <c r="O72" s="14"/>
      <c r="P72" s="14"/>
    </row>
    <row r="73" spans="1:16" ht="12.75">
      <c r="A73" s="74"/>
      <c r="E73" s="27"/>
      <c r="F73" s="28"/>
      <c r="G73" s="4"/>
      <c r="H73" s="4"/>
      <c r="I73" s="14"/>
      <c r="J73" s="14"/>
      <c r="O73" s="14"/>
      <c r="P73" s="14"/>
    </row>
    <row r="74" spans="1:16" ht="12.75">
      <c r="A74" s="74"/>
      <c r="E74" s="27"/>
      <c r="F74" s="28"/>
      <c r="G74" s="4"/>
      <c r="H74" s="4"/>
      <c r="I74" s="14"/>
      <c r="J74" s="14"/>
      <c r="O74" s="14"/>
      <c r="P74" s="14"/>
    </row>
    <row r="75" spans="1:16" ht="12.75">
      <c r="A75" s="74"/>
      <c r="E75" s="30"/>
      <c r="F75" s="30"/>
      <c r="G75" s="4"/>
      <c r="H75" s="4"/>
      <c r="I75" s="14"/>
      <c r="J75" s="14"/>
      <c r="O75" s="14"/>
      <c r="P75" s="14"/>
    </row>
    <row r="76" spans="1:16" ht="12.75">
      <c r="A76" s="74"/>
      <c r="E76" s="30"/>
      <c r="F76" s="30"/>
      <c r="G76" s="4"/>
      <c r="H76" s="4"/>
      <c r="I76" s="14"/>
      <c r="J76" s="14"/>
      <c r="O76" s="14"/>
      <c r="P76" s="14"/>
    </row>
    <row r="77" spans="1:16" ht="12.75">
      <c r="A77" s="74"/>
      <c r="E77" s="31"/>
      <c r="F77" s="30"/>
      <c r="G77" s="4"/>
      <c r="H77" s="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74"/>
      <c r="E78" s="30"/>
      <c r="F78" s="30"/>
      <c r="G78" s="4"/>
      <c r="H78" s="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71"/>
      <c r="C79" s="6"/>
      <c r="H79" s="14"/>
      <c r="I79" s="14"/>
      <c r="J79" s="14"/>
      <c r="K79" s="14"/>
      <c r="L79" s="14"/>
      <c r="M79" s="14"/>
      <c r="N79" s="14"/>
      <c r="O79" s="14"/>
      <c r="P79" s="14"/>
    </row>
    <row r="80" spans="1:3" ht="12.75">
      <c r="A80" s="73"/>
      <c r="C80" s="6"/>
    </row>
    <row r="81" spans="1:3" ht="12.75">
      <c r="A81" s="73"/>
      <c r="C81" s="6"/>
    </row>
    <row r="82" spans="1:3" ht="12.75">
      <c r="A82" s="73"/>
      <c r="C82" s="6"/>
    </row>
    <row r="83" spans="1:3" ht="12.75">
      <c r="A83" s="73"/>
      <c r="C83" s="6"/>
    </row>
    <row r="84" spans="1:3" ht="12.75">
      <c r="A84" s="73"/>
      <c r="C84" s="6"/>
    </row>
    <row r="85" spans="1:3" ht="12.75">
      <c r="A85" s="73"/>
      <c r="C85" s="6"/>
    </row>
    <row r="86" spans="1:3" ht="12.75">
      <c r="A86" s="1"/>
      <c r="C86" s="6"/>
    </row>
    <row r="87" spans="1:3" ht="12.75">
      <c r="A87" s="1"/>
      <c r="C87" s="6"/>
    </row>
    <row r="88" spans="1:3" ht="12.75">
      <c r="A88" s="1"/>
      <c r="C88" s="6"/>
    </row>
    <row r="89" spans="1:3" ht="12.75">
      <c r="A89" s="1"/>
      <c r="C89" s="6"/>
    </row>
    <row r="90" spans="1:3" ht="12.75">
      <c r="A90" s="1"/>
      <c r="B90" s="2"/>
      <c r="C90" s="6"/>
    </row>
    <row r="91" spans="1:3" ht="12.75">
      <c r="A91" s="1"/>
      <c r="B91" s="2"/>
      <c r="C91" s="6"/>
    </row>
    <row r="92" spans="1:3" ht="12.75">
      <c r="A92" s="1"/>
      <c r="B92" s="2"/>
      <c r="C92" s="6"/>
    </row>
    <row r="93" spans="1:3" ht="12.75">
      <c r="A93" s="1"/>
      <c r="B93" s="2"/>
      <c r="C93" s="6"/>
    </row>
    <row r="94" spans="1:3" ht="12.75">
      <c r="A94" s="1"/>
      <c r="B94" s="2"/>
      <c r="C94" s="6"/>
    </row>
    <row r="95" spans="1:3" ht="12.75">
      <c r="A95" s="1"/>
      <c r="B95" s="2"/>
      <c r="C95" s="6"/>
    </row>
    <row r="96" spans="1:3" ht="12.75">
      <c r="A96" s="1"/>
      <c r="B96" s="2"/>
      <c r="C96" s="6"/>
    </row>
    <row r="97" spans="1:3" ht="12.75">
      <c r="A97" s="1"/>
      <c r="B97" s="2"/>
      <c r="C97" s="6"/>
    </row>
    <row r="98" spans="1:3" ht="12.75">
      <c r="A98" s="1"/>
      <c r="B98" s="2"/>
      <c r="C98" s="6"/>
    </row>
    <row r="99" spans="1:3" ht="12.75">
      <c r="A99" s="1"/>
      <c r="B99" s="2"/>
      <c r="C99" s="6"/>
    </row>
    <row r="100" spans="1:3" ht="12.75">
      <c r="A100" s="1"/>
      <c r="B100" s="2"/>
      <c r="C100" s="6"/>
    </row>
    <row r="101" spans="1:3" ht="12.75">
      <c r="A101" s="1"/>
      <c r="B101" s="2"/>
      <c r="C101" s="6"/>
    </row>
    <row r="102" spans="1:3" ht="12.75">
      <c r="A102" s="1"/>
      <c r="B102" s="2"/>
      <c r="C102" s="6"/>
    </row>
    <row r="103" spans="1:3" ht="12.75">
      <c r="A103" s="1"/>
      <c r="B103" s="2"/>
      <c r="C103" s="6"/>
    </row>
    <row r="104" spans="1:3" ht="12.75">
      <c r="A104" s="1"/>
      <c r="B104" s="2"/>
      <c r="C104" s="6"/>
    </row>
    <row r="105" spans="1:3" ht="12.75">
      <c r="A105" s="1"/>
      <c r="B105" s="2"/>
      <c r="C105" s="6"/>
    </row>
    <row r="106" spans="1:3" ht="12.75">
      <c r="A106" s="1"/>
      <c r="B106" s="2"/>
      <c r="C106" s="6"/>
    </row>
    <row r="107" spans="1:3" ht="12.75">
      <c r="A107" s="1"/>
      <c r="B107" s="2"/>
      <c r="C107" s="6"/>
    </row>
    <row r="108" spans="1:3" ht="12.75">
      <c r="A108" s="1"/>
      <c r="B108" s="2"/>
      <c r="C108" s="6"/>
    </row>
    <row r="109" spans="1:3" ht="12.75">
      <c r="A109" s="1"/>
      <c r="B109" s="2"/>
      <c r="C109" s="6"/>
    </row>
    <row r="110" spans="1:3" ht="12.75">
      <c r="A110" s="1"/>
      <c r="B110" s="2"/>
      <c r="C110" s="6"/>
    </row>
    <row r="111" spans="1:3" ht="12.75">
      <c r="A111" s="1"/>
      <c r="B111" s="2"/>
      <c r="C111" s="6"/>
    </row>
    <row r="112" spans="1:3" ht="12.75">
      <c r="A112" s="1"/>
      <c r="B112" s="2"/>
      <c r="C112" s="6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</sheetData>
  <sheetProtection password="CA49" sheet="1" object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9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35.8515625" style="0" customWidth="1"/>
    <col min="3" max="3" width="9.57421875" style="0" customWidth="1"/>
    <col min="4" max="4" width="10.00390625" style="0" customWidth="1"/>
    <col min="5" max="5" width="8.28125" style="0" customWidth="1"/>
    <col min="6" max="6" width="9.8515625" style="0" customWidth="1"/>
    <col min="7" max="7" width="10.8515625" style="0" customWidth="1"/>
  </cols>
  <sheetData>
    <row r="1" ht="22.5">
      <c r="A1" s="68" t="s">
        <v>93</v>
      </c>
    </row>
    <row r="2" ht="22.5">
      <c r="A2" s="68"/>
    </row>
    <row r="3" ht="18.75">
      <c r="A3" s="69" t="s">
        <v>75</v>
      </c>
    </row>
    <row r="4" ht="18.75">
      <c r="A4" s="69"/>
    </row>
    <row r="5" spans="1:4" ht="12.75">
      <c r="A5" s="70" t="s">
        <v>89</v>
      </c>
      <c r="B5" s="19" t="s">
        <v>91</v>
      </c>
      <c r="C5" s="48">
        <f>C21*C6</f>
        <v>350000</v>
      </c>
      <c r="D5" s="44" t="s">
        <v>61</v>
      </c>
    </row>
    <row r="6" spans="1:4" ht="12.75">
      <c r="A6" s="71"/>
      <c r="B6" s="43" t="s">
        <v>100</v>
      </c>
      <c r="C6" s="62">
        <v>7</v>
      </c>
      <c r="D6" s="44" t="s">
        <v>71</v>
      </c>
    </row>
    <row r="7" ht="18.75">
      <c r="A7" s="69"/>
    </row>
    <row r="8" spans="1:4" ht="12.75" customHeight="1">
      <c r="A8" s="70" t="s">
        <v>90</v>
      </c>
      <c r="B8" s="19" t="s">
        <v>50</v>
      </c>
      <c r="C8" s="42">
        <f>$G$35+$G$36+$E$37+$E$38+$E$39+$E$40+$G$41</f>
        <v>58178.39197138392</v>
      </c>
      <c r="D8" s="44" t="s">
        <v>61</v>
      </c>
    </row>
    <row r="9" spans="1:4" ht="12.75" customHeight="1">
      <c r="A9" s="71"/>
      <c r="B9" s="19" t="s">
        <v>51</v>
      </c>
      <c r="C9" s="42">
        <f>$G$43+$G$44</f>
        <v>87876.25</v>
      </c>
      <c r="D9" s="44" t="s">
        <v>61</v>
      </c>
    </row>
    <row r="10" spans="1:4" ht="12.75" customHeight="1">
      <c r="A10" s="71"/>
      <c r="B10" s="18" t="s">
        <v>53</v>
      </c>
      <c r="C10" s="42">
        <f>$G$51*$C$19/100</f>
        <v>81441.96428571428</v>
      </c>
      <c r="D10" s="44" t="s">
        <v>61</v>
      </c>
    </row>
    <row r="11" spans="1:4" ht="12.75" customHeight="1">
      <c r="A11" s="71"/>
      <c r="B11" s="60" t="s">
        <v>68</v>
      </c>
      <c r="C11" s="61">
        <f>$C$8+$C$9+$C$10</f>
        <v>227496.6062570982</v>
      </c>
      <c r="D11" s="52" t="s">
        <v>61</v>
      </c>
    </row>
    <row r="12" spans="1:4" ht="12.75" customHeight="1">
      <c r="A12" s="71"/>
      <c r="B12" s="58" t="s">
        <v>84</v>
      </c>
      <c r="C12" s="47">
        <f>C11/C21</f>
        <v>4.549932125141964</v>
      </c>
      <c r="D12" s="45" t="s">
        <v>71</v>
      </c>
    </row>
    <row r="13" spans="1:4" ht="12.75" customHeight="1">
      <c r="A13" s="71"/>
      <c r="B13" s="55"/>
      <c r="C13" s="56"/>
      <c r="D13" s="46"/>
    </row>
    <row r="14" spans="1:4" ht="12.75" customHeight="1">
      <c r="A14" s="70" t="s">
        <v>86</v>
      </c>
      <c r="B14" s="19" t="s">
        <v>86</v>
      </c>
      <c r="C14" s="48">
        <f>C5-C11</f>
        <v>122503.3937429018</v>
      </c>
      <c r="D14" s="44" t="s">
        <v>61</v>
      </c>
    </row>
    <row r="15" spans="1:4" ht="12.75" customHeight="1">
      <c r="A15" s="71"/>
      <c r="B15" s="43" t="s">
        <v>85</v>
      </c>
      <c r="C15" s="49">
        <f>C6-C12</f>
        <v>2.4500678748580356</v>
      </c>
      <c r="D15" s="44" t="s">
        <v>71</v>
      </c>
    </row>
    <row r="16" spans="1:4" ht="12.75" customHeight="1">
      <c r="A16" s="71"/>
      <c r="B16" s="55"/>
      <c r="C16" s="56"/>
      <c r="D16" s="46"/>
    </row>
    <row r="17" spans="1:4" ht="12.75" customHeight="1">
      <c r="A17" s="70" t="s">
        <v>54</v>
      </c>
      <c r="B17" s="59" t="s">
        <v>52</v>
      </c>
      <c r="C17" s="42">
        <f>$E$29+$E$30+$E$31+$E$32+$E$33</f>
        <v>256778</v>
      </c>
      <c r="D17" s="44" t="s">
        <v>56</v>
      </c>
    </row>
    <row r="18" spans="1:4" ht="12.75" customHeight="1">
      <c r="A18" s="72"/>
      <c r="B18" s="57" t="s">
        <v>8</v>
      </c>
      <c r="C18" s="53">
        <f>$E$55*$E$54</f>
        <v>1250</v>
      </c>
      <c r="D18" s="54" t="s">
        <v>66</v>
      </c>
    </row>
    <row r="19" spans="1:4" ht="12.75" customHeight="1">
      <c r="A19" s="72"/>
      <c r="B19" s="19" t="s">
        <v>9</v>
      </c>
      <c r="C19" s="43">
        <f>INT($E$57*2*$C$18)</f>
        <v>125000</v>
      </c>
      <c r="D19" s="44" t="s">
        <v>0</v>
      </c>
    </row>
    <row r="20" spans="1:4" ht="12.75" customHeight="1">
      <c r="A20" s="71"/>
      <c r="B20" s="19" t="s">
        <v>10</v>
      </c>
      <c r="C20" s="43">
        <f>INT($C$19*$E$59)</f>
        <v>875000</v>
      </c>
      <c r="D20" s="44" t="s">
        <v>33</v>
      </c>
    </row>
    <row r="21" spans="1:4" ht="12.75" customHeight="1">
      <c r="A21" s="71"/>
      <c r="B21" s="20" t="s">
        <v>15</v>
      </c>
      <c r="C21" s="48">
        <f>$E$53*$C$18</f>
        <v>50000</v>
      </c>
      <c r="D21" s="44" t="s">
        <v>67</v>
      </c>
    </row>
    <row r="22" spans="1:4" ht="12.75" customHeight="1">
      <c r="A22" s="71"/>
      <c r="B22" s="19" t="s">
        <v>30</v>
      </c>
      <c r="C22" s="49">
        <f>$C$11/$C$19</f>
        <v>1.8199728500567856</v>
      </c>
      <c r="D22" s="44" t="s">
        <v>36</v>
      </c>
    </row>
    <row r="23" spans="1:4" ht="12.75" customHeight="1">
      <c r="A23" s="71"/>
      <c r="B23" s="19" t="s">
        <v>70</v>
      </c>
      <c r="C23" s="49">
        <f>$C$11/$C$21</f>
        <v>4.549932125141964</v>
      </c>
      <c r="D23" s="44" t="s">
        <v>71</v>
      </c>
    </row>
    <row r="24" spans="1:4" ht="12.75" customHeight="1">
      <c r="A24" s="71"/>
      <c r="B24" s="19" t="s">
        <v>31</v>
      </c>
      <c r="C24" s="48">
        <f>$C$11/$C$18</f>
        <v>181.99728500567855</v>
      </c>
      <c r="D24" s="44" t="s">
        <v>69</v>
      </c>
    </row>
    <row r="25" spans="1:4" ht="12.75" customHeight="1">
      <c r="A25" s="71"/>
      <c r="B25" s="3"/>
      <c r="C25" s="50"/>
      <c r="D25" s="46"/>
    </row>
    <row r="26" ht="22.5">
      <c r="A26" s="68"/>
    </row>
    <row r="27" spans="1:3" ht="18.75">
      <c r="A27" s="69" t="s">
        <v>76</v>
      </c>
      <c r="C27" s="6"/>
    </row>
    <row r="28" spans="1:11" ht="25.5">
      <c r="A28" s="73"/>
      <c r="B28" s="15" t="s">
        <v>45</v>
      </c>
      <c r="C28" s="16" t="s">
        <v>46</v>
      </c>
      <c r="D28" s="17" t="s">
        <v>47</v>
      </c>
      <c r="E28" s="17" t="s">
        <v>48</v>
      </c>
      <c r="F28" s="15" t="s">
        <v>55</v>
      </c>
      <c r="G28" s="15" t="s">
        <v>73</v>
      </c>
      <c r="I28" s="35"/>
      <c r="J28" s="35"/>
      <c r="K28" s="35"/>
    </row>
    <row r="29" spans="1:16" ht="12.75">
      <c r="A29" s="71"/>
      <c r="B29" s="19" t="s">
        <v>81</v>
      </c>
      <c r="C29" s="63"/>
      <c r="D29" s="32">
        <v>125000</v>
      </c>
      <c r="E29" s="32">
        <f>IF(ISBLANK(C29),D29,C29)</f>
        <v>125000</v>
      </c>
      <c r="F29" s="21" t="s">
        <v>56</v>
      </c>
      <c r="G29" s="18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71"/>
      <c r="B30" s="19" t="s">
        <v>80</v>
      </c>
      <c r="C30" s="63"/>
      <c r="D30" s="32">
        <v>90000</v>
      </c>
      <c r="E30" s="32">
        <f aca="true" t="shared" si="0" ref="E30:E64">IF(ISBLANK(C30),D30,C30)</f>
        <v>90000</v>
      </c>
      <c r="F30" s="21" t="s">
        <v>56</v>
      </c>
      <c r="G30" s="18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71"/>
      <c r="B31" s="19" t="s">
        <v>2</v>
      </c>
      <c r="C31" s="63"/>
      <c r="D31" s="32">
        <v>55000</v>
      </c>
      <c r="E31" s="32">
        <f t="shared" si="0"/>
        <v>55000</v>
      </c>
      <c r="F31" s="21" t="s">
        <v>56</v>
      </c>
      <c r="G31" s="18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71"/>
      <c r="B32" s="19" t="s">
        <v>83</v>
      </c>
      <c r="C32" s="64"/>
      <c r="D32" s="34">
        <v>623</v>
      </c>
      <c r="E32" s="32">
        <f>-$D$32*10</f>
        <v>-6230</v>
      </c>
      <c r="F32" s="21" t="s">
        <v>56</v>
      </c>
      <c r="G32" s="18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71"/>
      <c r="B33" s="19" t="s">
        <v>72</v>
      </c>
      <c r="C33" s="64"/>
      <c r="D33" s="34">
        <v>437</v>
      </c>
      <c r="E33" s="32">
        <f>-$D$33*16</f>
        <v>-6992</v>
      </c>
      <c r="F33" s="21" t="s">
        <v>56</v>
      </c>
      <c r="G33" s="18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71"/>
      <c r="B34" s="19"/>
      <c r="C34" s="25"/>
      <c r="D34" s="18"/>
      <c r="E34" s="18"/>
      <c r="F34" s="21"/>
      <c r="G34" s="18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4.25" customHeight="1">
      <c r="A35" s="71"/>
      <c r="B35" s="19" t="s">
        <v>23</v>
      </c>
      <c r="C35" s="63"/>
      <c r="D35" s="18">
        <v>5</v>
      </c>
      <c r="E35" s="18">
        <f t="shared" si="0"/>
        <v>5</v>
      </c>
      <c r="F35" s="21" t="s">
        <v>1</v>
      </c>
      <c r="G35" s="19">
        <f>(1-0.8^$E$59)/$E$59*($E$29+$E$30+$E$32)*$E$35/20+(1-0.75^$E$60)/$E$60*($E$31+$E$33)*$E$35/25</f>
        <v>7080.9829338973195</v>
      </c>
      <c r="H35" s="36" t="s">
        <v>61</v>
      </c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71"/>
      <c r="B36" s="19" t="s">
        <v>22</v>
      </c>
      <c r="C36" s="25"/>
      <c r="D36" s="19"/>
      <c r="E36" s="18"/>
      <c r="F36" s="21"/>
      <c r="G36" s="19">
        <f>(1-0.8^$E$59)/$E$59*($E$29+$E$30+$E$32)+(1-0.75^$E$60)/$E$60*($E$31+$E$33)</f>
        <v>29512.494751772312</v>
      </c>
      <c r="H36" s="36" t="s">
        <v>61</v>
      </c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71"/>
      <c r="B37" s="19" t="s">
        <v>24</v>
      </c>
      <c r="C37" s="63"/>
      <c r="D37" s="23">
        <v>11000</v>
      </c>
      <c r="E37" s="32">
        <f t="shared" si="0"/>
        <v>11000</v>
      </c>
      <c r="F37" s="21" t="s">
        <v>61</v>
      </c>
      <c r="G37" s="18"/>
      <c r="H37" s="36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71"/>
      <c r="B38" s="19" t="s">
        <v>25</v>
      </c>
      <c r="C38" s="63"/>
      <c r="D38" s="32">
        <v>2500</v>
      </c>
      <c r="E38" s="32">
        <f t="shared" si="0"/>
        <v>2500</v>
      </c>
      <c r="F38" s="21" t="s">
        <v>61</v>
      </c>
      <c r="G38" s="18"/>
      <c r="H38" s="36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71"/>
      <c r="B39" s="19" t="s">
        <v>27</v>
      </c>
      <c r="C39" s="63"/>
      <c r="D39" s="18">
        <v>5000</v>
      </c>
      <c r="E39" s="18">
        <f t="shared" si="0"/>
        <v>5000</v>
      </c>
      <c r="F39" s="21" t="s">
        <v>61</v>
      </c>
      <c r="G39" s="18"/>
      <c r="H39" s="36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71"/>
      <c r="B40" s="19" t="s">
        <v>28</v>
      </c>
      <c r="C40" s="63"/>
      <c r="D40" s="23">
        <v>1000</v>
      </c>
      <c r="E40" s="32">
        <f t="shared" si="0"/>
        <v>1000</v>
      </c>
      <c r="F40" s="21" t="s">
        <v>61</v>
      </c>
      <c r="G40" s="18"/>
      <c r="H40" s="36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71"/>
      <c r="B41" s="19" t="s">
        <v>29</v>
      </c>
      <c r="C41" s="63"/>
      <c r="D41" s="32">
        <v>4000</v>
      </c>
      <c r="E41" s="32">
        <f t="shared" si="0"/>
        <v>4000</v>
      </c>
      <c r="F41" s="21" t="s">
        <v>33</v>
      </c>
      <c r="G41" s="19">
        <f>0.8*$G$51*$E$41/100</f>
        <v>2084.9142857142856</v>
      </c>
      <c r="H41" s="36" t="s">
        <v>61</v>
      </c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71"/>
      <c r="B42" s="15"/>
      <c r="C42" s="25"/>
      <c r="D42" s="18"/>
      <c r="E42" s="18"/>
      <c r="F42" s="21"/>
      <c r="G42" s="18"/>
      <c r="H42" s="36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71"/>
      <c r="B43" s="19" t="s">
        <v>17</v>
      </c>
      <c r="C43" s="65"/>
      <c r="D43" s="51">
        <v>14</v>
      </c>
      <c r="E43" s="29">
        <f t="shared" si="0"/>
        <v>14</v>
      </c>
      <c r="F43" s="21" t="s">
        <v>57</v>
      </c>
      <c r="G43" s="18">
        <f>$E$43*($G$63+$G$64)</f>
        <v>52937.5</v>
      </c>
      <c r="H43" s="36" t="s">
        <v>61</v>
      </c>
      <c r="I43" s="14"/>
      <c r="J43" s="14"/>
      <c r="K43" s="14"/>
      <c r="L43" s="14"/>
      <c r="M43" s="14"/>
      <c r="N43" s="14"/>
      <c r="O43" s="14"/>
      <c r="P43" s="14"/>
    </row>
    <row r="44" spans="1:16" ht="12.75">
      <c r="A44" s="71"/>
      <c r="B44" s="19" t="s">
        <v>18</v>
      </c>
      <c r="C44" s="63"/>
      <c r="D44" s="18">
        <v>66</v>
      </c>
      <c r="E44" s="18">
        <f t="shared" si="0"/>
        <v>66</v>
      </c>
      <c r="F44" s="21" t="s">
        <v>1</v>
      </c>
      <c r="G44" s="18">
        <f>$E$44/100*$G$43</f>
        <v>34938.75</v>
      </c>
      <c r="H44" s="36" t="s">
        <v>61</v>
      </c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71"/>
      <c r="B45" s="15"/>
      <c r="C45" s="25"/>
      <c r="D45" s="18"/>
      <c r="E45" s="18"/>
      <c r="F45" s="21"/>
      <c r="G45" s="18"/>
      <c r="H45" s="36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71"/>
      <c r="B46" s="19" t="s">
        <v>19</v>
      </c>
      <c r="C46" s="66"/>
      <c r="D46" s="22">
        <v>1.3</v>
      </c>
      <c r="E46" s="22">
        <f t="shared" si="0"/>
        <v>1.3</v>
      </c>
      <c r="F46" s="21" t="s">
        <v>60</v>
      </c>
      <c r="G46" s="29">
        <f>$E$46*$E$47</f>
        <v>49.4</v>
      </c>
      <c r="H46" s="36" t="s">
        <v>32</v>
      </c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71"/>
      <c r="B47" s="19" t="s">
        <v>13</v>
      </c>
      <c r="C47" s="65"/>
      <c r="D47" s="29">
        <v>38</v>
      </c>
      <c r="E47" s="29">
        <f t="shared" si="0"/>
        <v>38</v>
      </c>
      <c r="F47" s="21" t="s">
        <v>59</v>
      </c>
      <c r="G47" s="29"/>
      <c r="H47" s="36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71"/>
      <c r="B48" s="19" t="s">
        <v>20</v>
      </c>
      <c r="C48" s="63"/>
      <c r="D48" s="32">
        <v>2000</v>
      </c>
      <c r="E48" s="32">
        <f t="shared" si="0"/>
        <v>2000</v>
      </c>
      <c r="F48" s="21" t="s">
        <v>61</v>
      </c>
      <c r="G48" s="29">
        <f>$E$48/$C$19*100</f>
        <v>1.6</v>
      </c>
      <c r="H48" s="36" t="s">
        <v>32</v>
      </c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71"/>
      <c r="B49" s="19" t="s">
        <v>21</v>
      </c>
      <c r="C49" s="63"/>
      <c r="D49" s="32">
        <v>17000</v>
      </c>
      <c r="E49" s="32">
        <f t="shared" si="0"/>
        <v>17000</v>
      </c>
      <c r="F49" s="21" t="s">
        <v>61</v>
      </c>
      <c r="G49" s="29">
        <f>$E$49/$C$19*100</f>
        <v>13.600000000000001</v>
      </c>
      <c r="H49" s="36" t="s">
        <v>32</v>
      </c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71"/>
      <c r="B50" s="19" t="s">
        <v>49</v>
      </c>
      <c r="C50" s="63"/>
      <c r="D50" s="32">
        <v>200</v>
      </c>
      <c r="E50" s="32">
        <f t="shared" si="0"/>
        <v>200</v>
      </c>
      <c r="F50" s="21" t="s">
        <v>62</v>
      </c>
      <c r="G50" s="24">
        <f>(($D$32+(2*$E$50))+($D$33+(2*$E$50)))/(($E$61*(1+2*0.9)))*100</f>
        <v>0.5535714285714285</v>
      </c>
      <c r="H50" s="36" t="s">
        <v>32</v>
      </c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71"/>
      <c r="B51" s="15" t="s">
        <v>92</v>
      </c>
      <c r="C51" s="25"/>
      <c r="D51" s="18"/>
      <c r="E51" s="18"/>
      <c r="F51" s="21"/>
      <c r="G51" s="29">
        <f>$G$46+$G$48+$G$49+$G$50</f>
        <v>65.15357142857142</v>
      </c>
      <c r="H51" s="36" t="s">
        <v>32</v>
      </c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71"/>
      <c r="B52" s="15"/>
      <c r="C52" s="25"/>
      <c r="D52" s="18"/>
      <c r="E52" s="18"/>
      <c r="F52" s="21"/>
      <c r="G52" s="18"/>
      <c r="H52" s="36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71"/>
      <c r="B53" s="19" t="s">
        <v>3</v>
      </c>
      <c r="C53" s="63"/>
      <c r="D53" s="18">
        <v>40</v>
      </c>
      <c r="E53" s="18">
        <f t="shared" si="0"/>
        <v>40</v>
      </c>
      <c r="F53" s="21" t="s">
        <v>63</v>
      </c>
      <c r="G53" s="18"/>
      <c r="H53" s="36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71"/>
      <c r="B54" s="19" t="s">
        <v>4</v>
      </c>
      <c r="C54" s="63"/>
      <c r="D54" s="18">
        <v>250</v>
      </c>
      <c r="E54" s="18">
        <f t="shared" si="0"/>
        <v>250</v>
      </c>
      <c r="F54" s="21" t="s">
        <v>77</v>
      </c>
      <c r="G54" s="18"/>
      <c r="H54" s="36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71"/>
      <c r="B55" s="19" t="s">
        <v>5</v>
      </c>
      <c r="C55" s="63"/>
      <c r="D55" s="18">
        <v>5</v>
      </c>
      <c r="E55" s="18">
        <f t="shared" si="0"/>
        <v>5</v>
      </c>
      <c r="F55" s="21" t="s">
        <v>78</v>
      </c>
      <c r="G55" s="18"/>
      <c r="H55" s="36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71"/>
      <c r="B56" s="19" t="s">
        <v>6</v>
      </c>
      <c r="C56" s="63"/>
      <c r="D56" s="22">
        <v>2.75</v>
      </c>
      <c r="E56" s="22">
        <f t="shared" si="0"/>
        <v>2.75</v>
      </c>
      <c r="F56" s="21" t="s">
        <v>64</v>
      </c>
      <c r="G56" s="18"/>
      <c r="H56" s="36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71"/>
      <c r="B57" s="19" t="s">
        <v>7</v>
      </c>
      <c r="C57" s="63"/>
      <c r="D57" s="18">
        <v>50</v>
      </c>
      <c r="E57" s="18">
        <f t="shared" si="0"/>
        <v>50</v>
      </c>
      <c r="F57" s="21" t="s">
        <v>33</v>
      </c>
      <c r="G57" s="18"/>
      <c r="H57" s="36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71"/>
      <c r="B58" s="15"/>
      <c r="C58" s="25"/>
      <c r="D58" s="18"/>
      <c r="E58" s="18"/>
      <c r="F58" s="21"/>
      <c r="G58" s="18"/>
      <c r="H58" s="36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71"/>
      <c r="B59" s="19" t="s">
        <v>11</v>
      </c>
      <c r="C59" s="63"/>
      <c r="D59" s="22">
        <v>7</v>
      </c>
      <c r="E59" s="22">
        <f t="shared" si="0"/>
        <v>7</v>
      </c>
      <c r="F59" s="21" t="s">
        <v>65</v>
      </c>
      <c r="G59" s="18"/>
      <c r="H59" s="36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71"/>
      <c r="B60" s="20" t="s">
        <v>12</v>
      </c>
      <c r="C60" s="63"/>
      <c r="D60" s="22">
        <v>7</v>
      </c>
      <c r="E60" s="22">
        <f t="shared" si="0"/>
        <v>7</v>
      </c>
      <c r="F60" s="21" t="s">
        <v>65</v>
      </c>
      <c r="G60" s="18"/>
      <c r="H60" s="36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71"/>
      <c r="B61" s="19" t="s">
        <v>14</v>
      </c>
      <c r="C61" s="67"/>
      <c r="D61" s="33">
        <v>120000</v>
      </c>
      <c r="E61" s="33">
        <f t="shared" si="0"/>
        <v>120000</v>
      </c>
      <c r="F61" s="21" t="s">
        <v>33</v>
      </c>
      <c r="G61" s="18"/>
      <c r="H61" s="36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71"/>
      <c r="B62" s="41"/>
      <c r="C62" s="25"/>
      <c r="D62" s="18"/>
      <c r="E62" s="18"/>
      <c r="F62" s="21"/>
      <c r="G62" s="18"/>
      <c r="H62" s="36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71"/>
      <c r="B63" s="5" t="s">
        <v>16</v>
      </c>
      <c r="C63" s="25"/>
      <c r="D63" s="40"/>
      <c r="E63" s="40"/>
      <c r="F63" s="39"/>
      <c r="G63" s="26">
        <f>$E$56*$C$18</f>
        <v>3437.5</v>
      </c>
      <c r="H63" s="36" t="s">
        <v>26</v>
      </c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71"/>
      <c r="B64" s="19" t="s">
        <v>58</v>
      </c>
      <c r="C64" s="63"/>
      <c r="D64" s="18">
        <v>10</v>
      </c>
      <c r="E64" s="18">
        <f t="shared" si="0"/>
        <v>10</v>
      </c>
      <c r="F64" s="21" t="s">
        <v>1</v>
      </c>
      <c r="G64" s="19">
        <f>($E$64/100)*$G$63</f>
        <v>343.75</v>
      </c>
      <c r="H64" s="36" t="s">
        <v>26</v>
      </c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71"/>
      <c r="E65" s="27"/>
      <c r="F65" s="27"/>
      <c r="G65" s="27"/>
      <c r="H65" s="4"/>
      <c r="I65" s="14"/>
      <c r="J65" s="14"/>
      <c r="O65" s="14"/>
      <c r="P65" s="14"/>
    </row>
    <row r="66" spans="1:16" ht="12.75">
      <c r="A66" s="74"/>
      <c r="E66" s="27"/>
      <c r="F66" s="28"/>
      <c r="G66" s="4"/>
      <c r="H66" s="4"/>
      <c r="I66" s="14"/>
      <c r="J66" s="14"/>
      <c r="O66" s="14"/>
      <c r="P66" s="14"/>
    </row>
    <row r="67" spans="1:16" ht="12.75">
      <c r="A67" s="74"/>
      <c r="E67" s="27"/>
      <c r="F67" s="28"/>
      <c r="G67" s="4"/>
      <c r="H67" s="4"/>
      <c r="I67" s="14"/>
      <c r="J67" s="14"/>
      <c r="O67" s="14"/>
      <c r="P67" s="14"/>
    </row>
    <row r="68" spans="1:16" ht="12.75">
      <c r="A68" s="74"/>
      <c r="E68" s="27"/>
      <c r="F68" s="28"/>
      <c r="G68" s="4"/>
      <c r="H68" s="4"/>
      <c r="I68" s="14"/>
      <c r="J68" s="14"/>
      <c r="O68" s="14"/>
      <c r="P68" s="14"/>
    </row>
    <row r="69" spans="1:16" ht="12.75">
      <c r="A69" s="74"/>
      <c r="E69" s="27"/>
      <c r="F69" s="28"/>
      <c r="G69" s="4"/>
      <c r="H69" s="4"/>
      <c r="I69" s="14"/>
      <c r="J69" s="14"/>
      <c r="O69" s="14"/>
      <c r="P69" s="14"/>
    </row>
    <row r="70" spans="1:16" ht="12.75" customHeight="1">
      <c r="A70" s="74"/>
      <c r="E70" s="27"/>
      <c r="F70" s="28"/>
      <c r="G70" s="4"/>
      <c r="H70" s="4"/>
      <c r="I70" s="14"/>
      <c r="J70" s="14"/>
      <c r="O70" s="14"/>
      <c r="P70" s="14"/>
    </row>
    <row r="71" spans="1:16" ht="12.75" customHeight="1">
      <c r="A71" s="74"/>
      <c r="E71" s="27"/>
      <c r="F71" s="28"/>
      <c r="G71" s="4"/>
      <c r="H71" s="4"/>
      <c r="I71" s="14"/>
      <c r="J71" s="14"/>
      <c r="O71" s="14"/>
      <c r="P71" s="14"/>
    </row>
    <row r="72" spans="1:16" ht="12.75">
      <c r="A72" s="74"/>
      <c r="E72" s="27"/>
      <c r="F72" s="4"/>
      <c r="G72" s="4"/>
      <c r="H72" s="4"/>
      <c r="I72" s="14"/>
      <c r="J72" s="14"/>
      <c r="O72" s="14"/>
      <c r="P72" s="14"/>
    </row>
    <row r="73" spans="1:16" ht="12.75">
      <c r="A73" s="74"/>
      <c r="E73" s="27"/>
      <c r="F73" s="28"/>
      <c r="G73" s="4"/>
      <c r="H73" s="4"/>
      <c r="I73" s="14"/>
      <c r="J73" s="14"/>
      <c r="O73" s="14"/>
      <c r="P73" s="14"/>
    </row>
    <row r="74" spans="1:16" ht="12.75">
      <c r="A74" s="74"/>
      <c r="E74" s="27"/>
      <c r="F74" s="28"/>
      <c r="G74" s="4"/>
      <c r="H74" s="4"/>
      <c r="I74" s="14"/>
      <c r="J74" s="14"/>
      <c r="O74" s="14"/>
      <c r="P74" s="14"/>
    </row>
    <row r="75" spans="1:16" ht="12.75">
      <c r="A75" s="74"/>
      <c r="E75" s="30"/>
      <c r="F75" s="30"/>
      <c r="G75" s="4"/>
      <c r="H75" s="4"/>
      <c r="I75" s="14"/>
      <c r="J75" s="14"/>
      <c r="O75" s="14"/>
      <c r="P75" s="14"/>
    </row>
    <row r="76" spans="1:16" ht="12.75">
      <c r="A76" s="74"/>
      <c r="E76" s="30"/>
      <c r="F76" s="30"/>
      <c r="G76" s="4"/>
      <c r="H76" s="4"/>
      <c r="I76" s="14"/>
      <c r="J76" s="14"/>
      <c r="O76" s="14"/>
      <c r="P76" s="14"/>
    </row>
    <row r="77" spans="1:16" ht="12.75">
      <c r="A77" s="74"/>
      <c r="E77" s="31"/>
      <c r="F77" s="30"/>
      <c r="G77" s="4"/>
      <c r="H77" s="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74"/>
      <c r="E78" s="30"/>
      <c r="F78" s="30"/>
      <c r="G78" s="4"/>
      <c r="H78" s="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71"/>
      <c r="C79" s="6"/>
      <c r="H79" s="14"/>
      <c r="I79" s="14"/>
      <c r="J79" s="14"/>
      <c r="K79" s="14"/>
      <c r="L79" s="14"/>
      <c r="M79" s="14"/>
      <c r="N79" s="14"/>
      <c r="O79" s="14"/>
      <c r="P79" s="14"/>
    </row>
    <row r="80" spans="1:3" ht="12.75">
      <c r="A80" s="73"/>
      <c r="C80" s="6"/>
    </row>
    <row r="81" spans="1:3" ht="12.75">
      <c r="A81" s="73"/>
      <c r="C81" s="6"/>
    </row>
    <row r="82" spans="1:3" ht="12.75">
      <c r="A82" s="73"/>
      <c r="C82" s="6"/>
    </row>
    <row r="83" spans="1:3" ht="12.75">
      <c r="A83" s="73"/>
      <c r="C83" s="6"/>
    </row>
    <row r="84" spans="1:3" ht="12.75">
      <c r="A84" s="73"/>
      <c r="C84" s="6"/>
    </row>
    <row r="85" spans="1:3" ht="12.75">
      <c r="A85" s="73"/>
      <c r="C85" s="6"/>
    </row>
    <row r="86" spans="1:3" ht="12.75">
      <c r="A86" s="73"/>
      <c r="C86" s="6"/>
    </row>
    <row r="87" spans="1:3" ht="12.75">
      <c r="A87" s="73"/>
      <c r="C87" s="6"/>
    </row>
    <row r="88" spans="1:3" ht="12.75">
      <c r="A88" s="73"/>
      <c r="C88" s="6"/>
    </row>
    <row r="89" spans="1:3" ht="12.75">
      <c r="A89" s="73"/>
      <c r="C89" s="6"/>
    </row>
    <row r="90" spans="1:3" ht="12.75">
      <c r="A90" s="73"/>
      <c r="B90" s="2"/>
      <c r="C90" s="6"/>
    </row>
    <row r="91" spans="1:3" ht="12.75">
      <c r="A91" s="73"/>
      <c r="B91" s="2"/>
      <c r="C91" s="6"/>
    </row>
    <row r="92" spans="1:3" ht="12.75">
      <c r="A92" s="73"/>
      <c r="B92" s="2"/>
      <c r="C92" s="6"/>
    </row>
    <row r="93" spans="1:3" ht="12.75">
      <c r="A93" s="73"/>
      <c r="B93" s="2"/>
      <c r="C93" s="6"/>
    </row>
    <row r="94" spans="1:3" ht="12.75">
      <c r="A94" s="73"/>
      <c r="B94" s="2"/>
      <c r="C94" s="6"/>
    </row>
    <row r="95" spans="1:3" ht="12.75">
      <c r="A95" s="73"/>
      <c r="B95" s="2"/>
      <c r="C95" s="6"/>
    </row>
    <row r="96" spans="1:3" ht="12.75">
      <c r="A96" s="73"/>
      <c r="B96" s="2"/>
      <c r="C96" s="6"/>
    </row>
    <row r="97" spans="1:3" ht="12.75">
      <c r="A97" s="73"/>
      <c r="B97" s="2"/>
      <c r="C97" s="6"/>
    </row>
    <row r="98" spans="1:3" ht="12.75">
      <c r="A98" s="73"/>
      <c r="B98" s="2"/>
      <c r="C98" s="6"/>
    </row>
    <row r="99" spans="1:3" ht="12.75">
      <c r="A99" s="73"/>
      <c r="B99" s="2"/>
      <c r="C99" s="6"/>
    </row>
    <row r="100" spans="1:3" ht="12.75">
      <c r="A100" s="73"/>
      <c r="B100" s="2"/>
      <c r="C100" s="6"/>
    </row>
    <row r="101" spans="1:3" ht="12.75">
      <c r="A101" s="73"/>
      <c r="B101" s="2"/>
      <c r="C101" s="6"/>
    </row>
    <row r="102" spans="1:3" ht="12.75">
      <c r="A102" s="73"/>
      <c r="B102" s="2"/>
      <c r="C102" s="6"/>
    </row>
    <row r="103" spans="1:3" ht="12.75">
      <c r="A103" s="73"/>
      <c r="B103" s="2"/>
      <c r="C103" s="6"/>
    </row>
    <row r="104" spans="1:3" ht="12.75">
      <c r="A104" s="73"/>
      <c r="B104" s="2"/>
      <c r="C104" s="6"/>
    </row>
    <row r="105" spans="1:3" ht="12.75">
      <c r="A105" s="73"/>
      <c r="B105" s="2"/>
      <c r="C105" s="6"/>
    </row>
    <row r="106" spans="1:3" ht="12.75">
      <c r="A106" s="73"/>
      <c r="B106" s="2"/>
      <c r="C106" s="6"/>
    </row>
    <row r="107" spans="1:3" ht="12.75">
      <c r="A107" s="73"/>
      <c r="B107" s="2"/>
      <c r="C107" s="6"/>
    </row>
    <row r="108" spans="1:3" ht="12.75">
      <c r="A108" s="73"/>
      <c r="B108" s="2"/>
      <c r="C108" s="6"/>
    </row>
    <row r="109" spans="1:3" ht="12.75">
      <c r="A109" s="73"/>
      <c r="B109" s="2"/>
      <c r="C109" s="6"/>
    </row>
    <row r="110" spans="1:3" ht="12.75">
      <c r="A110" s="73"/>
      <c r="B110" s="2"/>
      <c r="C110" s="6"/>
    </row>
    <row r="111" spans="1:3" ht="12.75">
      <c r="A111" s="73"/>
      <c r="B111" s="2"/>
      <c r="C111" s="6"/>
    </row>
    <row r="112" spans="1:3" ht="12.75">
      <c r="A112" s="73"/>
      <c r="B112" s="2"/>
      <c r="C112" s="6"/>
    </row>
    <row r="113" ht="12.75">
      <c r="A113" s="73"/>
    </row>
    <row r="114" ht="12.75">
      <c r="A114" s="73"/>
    </row>
    <row r="115" ht="12.75">
      <c r="A115" s="73"/>
    </row>
    <row r="116" ht="12.75">
      <c r="A116" s="73"/>
    </row>
    <row r="117" ht="12.75">
      <c r="A117" s="73"/>
    </row>
    <row r="118" ht="12.75">
      <c r="A118" s="73"/>
    </row>
    <row r="119" ht="12.75">
      <c r="A119" s="73"/>
    </row>
    <row r="120" ht="12.75">
      <c r="A120" s="73"/>
    </row>
    <row r="121" ht="12.75">
      <c r="A121" s="73"/>
    </row>
    <row r="122" ht="12.75">
      <c r="A122" s="73"/>
    </row>
    <row r="123" ht="12.75">
      <c r="A123" s="73"/>
    </row>
    <row r="124" ht="12.75">
      <c r="A124" s="73"/>
    </row>
    <row r="125" ht="12.75">
      <c r="A125" s="73"/>
    </row>
    <row r="126" ht="12.75">
      <c r="A126" s="73"/>
    </row>
    <row r="127" ht="12.75">
      <c r="A127" s="73"/>
    </row>
    <row r="128" ht="12.75">
      <c r="A128" s="73"/>
    </row>
    <row r="129" ht="12.75">
      <c r="A129" s="73"/>
    </row>
    <row r="130" ht="12.75">
      <c r="A130" s="73"/>
    </row>
    <row r="131" ht="12.75">
      <c r="A131" s="73"/>
    </row>
    <row r="132" ht="12.75">
      <c r="A132" s="73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</sheetData>
  <sheetProtection password="CA49" sheet="1" object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" sqref="U1"/>
    </sheetView>
  </sheetViews>
  <sheetFormatPr defaultColWidth="9.140625" defaultRowHeight="12.75"/>
  <cols>
    <col min="1" max="16384" width="9.140625" style="38" customWidth="1"/>
  </cols>
  <sheetData/>
  <sheetProtection password="CA49" sheet="1" object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MetsäalanKuljetusyrittäjät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Sivonen Mika</dc:creator>
  <cp:keywords/>
  <dc:description/>
  <cp:lastModifiedBy>Jari Aalto</cp:lastModifiedBy>
  <cp:lastPrinted>2007-02-07T11:23:24Z</cp:lastPrinted>
  <dcterms:created xsi:type="dcterms:W3CDTF">2001-10-11T05:10:37Z</dcterms:created>
  <dcterms:modified xsi:type="dcterms:W3CDTF">2014-03-27T10:41:03Z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